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2"/>
  </bookViews>
  <sheets>
    <sheet name="Предложения об установлении тар" sheetId="1" r:id="rId1"/>
    <sheet name="Приложение №5 к предложению" sheetId="2" r:id="rId2"/>
    <sheet name="Приложение №2" sheetId="3" r:id="rId3"/>
  </sheets>
  <definedNames>
    <definedName name="_xlnm.Print_Titles_2">"'приложение №5 к предложению'!$3":4</definedName>
  </definedNames>
  <calcPr fullCalcOnLoad="1"/>
</workbook>
</file>

<file path=xl/sharedStrings.xml><?xml version="1.0" encoding="utf-8"?>
<sst xmlns="http://schemas.openxmlformats.org/spreadsheetml/2006/main" count="403" uniqueCount="271">
  <si>
    <t>Предложения об установлении тарифов</t>
  </si>
  <si>
    <t>(метод долгосрочной необходимой валовой выручки)</t>
  </si>
  <si>
    <t>за 2015-2019 гг.</t>
  </si>
  <si>
    <t>п/п</t>
  </si>
  <si>
    <t>Наименование статей</t>
  </si>
  <si>
    <t>Ед. изм.</t>
  </si>
  <si>
    <t>План  на 2012г.</t>
  </si>
  <si>
    <t>ФАКТ 2013 г.</t>
  </si>
  <si>
    <t>ОЖИДАЕМОЕ 2014 г.</t>
  </si>
  <si>
    <t>ПЛАН 2015г.</t>
  </si>
  <si>
    <t>ПЛАН 2016г.</t>
  </si>
  <si>
    <t>ПЛАН 2017 г.</t>
  </si>
  <si>
    <t>ПЛАН 2018 г.</t>
  </si>
  <si>
    <t>ПЛАН 2019 г.</t>
  </si>
  <si>
    <t>1 полугодие 2012г.</t>
  </si>
  <si>
    <t>2 полугодие 2012г.</t>
  </si>
  <si>
    <t>Отклонения факта от плана</t>
  </si>
  <si>
    <t>Коэф.изм. факта к плану</t>
  </si>
  <si>
    <t>1 полугодие 2013г.</t>
  </si>
  <si>
    <t>9 месяцев 2013г.</t>
  </si>
  <si>
    <t>количество активов (условных единиц)</t>
  </si>
  <si>
    <t>Подконтрольные расходы всего, в т.ч.:</t>
  </si>
  <si>
    <t>тыс. руб.</t>
  </si>
  <si>
    <t>1.1.</t>
  </si>
  <si>
    <t>Сырье, материалы, запасные части, инструмент, топливо</t>
  </si>
  <si>
    <t>1.2.</t>
  </si>
  <si>
    <t>Работы и услуги производственного характера</t>
  </si>
  <si>
    <t xml:space="preserve">Работы и услуги пр-го характера </t>
  </si>
  <si>
    <t>1.3.</t>
  </si>
  <si>
    <t>Расходы на оплату труда</t>
  </si>
  <si>
    <t>1.4.</t>
  </si>
  <si>
    <t>Прочие подконтрольные расходы, всего, в т.ч.:</t>
  </si>
  <si>
    <t>Прочие расходы, всего, в т.ч.:</t>
  </si>
  <si>
    <t>1.4.1.</t>
  </si>
  <si>
    <t>Ремонт основных фондов</t>
  </si>
  <si>
    <t>1.4.2.</t>
  </si>
  <si>
    <t>Услуги связи</t>
  </si>
  <si>
    <t>услуги связи</t>
  </si>
  <si>
    <t>1.4.3.</t>
  </si>
  <si>
    <t>Расходы на услуги вневедомственной охраны и коммунального хозяйства</t>
  </si>
  <si>
    <t>Расходы на услуги вневед. охраны и ком х-ва</t>
  </si>
  <si>
    <t>1.4.4.</t>
  </si>
  <si>
    <t>Расходы на юридич. и  информац. услуги</t>
  </si>
  <si>
    <t>Расходы на юр и информ услуги</t>
  </si>
  <si>
    <t>1.4.5.</t>
  </si>
  <si>
    <t>Расходы на аудит. и консультационные услуги</t>
  </si>
  <si>
    <t>Расх на аудит и конс-е услуги</t>
  </si>
  <si>
    <t>1.4.6.</t>
  </si>
  <si>
    <t>Транспортные услуги</t>
  </si>
  <si>
    <t>1.4.7.</t>
  </si>
  <si>
    <t>Расходы на командировки и представ.</t>
  </si>
  <si>
    <t>Расходы на команд и представ</t>
  </si>
  <si>
    <t>1.4.8.</t>
  </si>
  <si>
    <t>Расходы на обеспечение нормальных условий труда и мер по технике безопасности</t>
  </si>
  <si>
    <t>1.4.9.</t>
  </si>
  <si>
    <t>Расходы на страхование</t>
  </si>
  <si>
    <t>1.4.10.</t>
  </si>
  <si>
    <t>Другие прочие расходы</t>
  </si>
  <si>
    <t>1.4.11.</t>
  </si>
  <si>
    <t>Электроэнергия на хоз. нужды</t>
  </si>
  <si>
    <t>1.5.</t>
  </si>
  <si>
    <t>Подконтрольные расходы из прибыли</t>
  </si>
  <si>
    <t>Подконтрольные р-ды из п-ли</t>
  </si>
  <si>
    <t>Неподконтрольные расходы всего, в т.ч.:</t>
  </si>
  <si>
    <t>2.1.</t>
  </si>
  <si>
    <t>Теплоэнергия</t>
  </si>
  <si>
    <t>2.2.</t>
  </si>
  <si>
    <t>Аренда</t>
  </si>
  <si>
    <t>Аренда, всего</t>
  </si>
  <si>
    <t>2.3.</t>
  </si>
  <si>
    <t>Налоги,всего, в том числе:</t>
  </si>
  <si>
    <t>2.3.1.</t>
  </si>
  <si>
    <t>плата за землю</t>
  </si>
  <si>
    <t>2.3.2.</t>
  </si>
  <si>
    <t>налог на имущество</t>
  </si>
  <si>
    <t>Налог на имущество</t>
  </si>
  <si>
    <t>2.3.3.</t>
  </si>
  <si>
    <t>прочие налоги и сборы</t>
  </si>
  <si>
    <t>Прочие налоги и сборы</t>
  </si>
  <si>
    <t>2.4.</t>
  </si>
  <si>
    <t>Отчисления на социальные нужды (ЕСН)</t>
  </si>
  <si>
    <t>2.5.</t>
  </si>
  <si>
    <t>Прочие неподконтрольные расходы</t>
  </si>
  <si>
    <t>2.6.</t>
  </si>
  <si>
    <t>Налог на прибыль всего, в т.ч.:</t>
  </si>
  <si>
    <t>Налог на прибыль, в том числе:</t>
  </si>
  <si>
    <t>налог на капвложения из прибыли</t>
  </si>
  <si>
    <t>2.7.</t>
  </si>
  <si>
    <t>Амортизация основных фондов</t>
  </si>
  <si>
    <t>Амортизация ОС</t>
  </si>
  <si>
    <t>2.8.</t>
  </si>
  <si>
    <t>Прибыль на капитальные вложения</t>
  </si>
  <si>
    <t>3.</t>
  </si>
  <si>
    <t>Итого необходимая валовая выручка по содержанию сетей (расходы на содержание сетей)</t>
  </si>
  <si>
    <t xml:space="preserve">Уд. вес объема поступления эл/энергии на сторону в общем объеме поступления  в сеть </t>
  </si>
  <si>
    <t>%</t>
  </si>
  <si>
    <t>4.</t>
  </si>
  <si>
    <t>Необходимая валовая выручка по содержанию сетей с учетом удельного веса    на сторону</t>
  </si>
  <si>
    <t>5.</t>
  </si>
  <si>
    <t>Выпадающие доходы / другие неподконтрольные расходы</t>
  </si>
  <si>
    <t>6.</t>
  </si>
  <si>
    <t>Расходы, связанные с компенсацией незапланированных расходов (+) или полученного избытка (-)</t>
  </si>
  <si>
    <t>7.</t>
  </si>
  <si>
    <t>Итого необходимая валовая выручка по содержанию сетей</t>
  </si>
  <si>
    <t>8.</t>
  </si>
  <si>
    <t xml:space="preserve">Плата за потери электроэнергии </t>
  </si>
  <si>
    <t>9.</t>
  </si>
  <si>
    <t>ВСЕГО НВВ</t>
  </si>
  <si>
    <t>рентабельность</t>
  </si>
  <si>
    <t>10.</t>
  </si>
  <si>
    <t>Ставка на содержание электросетей</t>
  </si>
  <si>
    <t>руб./МВА*мес</t>
  </si>
  <si>
    <t>руб./МВт*мес</t>
  </si>
  <si>
    <t>11.</t>
  </si>
  <si>
    <t>Ставка на оплату потерь</t>
  </si>
  <si>
    <t>руб/МВтч</t>
  </si>
  <si>
    <t>12.</t>
  </si>
  <si>
    <t>Одноставочный тариф на услуги по передаче электроэнергии</t>
  </si>
  <si>
    <t>Баланс электроэнергии (мощности)</t>
  </si>
  <si>
    <t>1. Присоединенная мощность</t>
  </si>
  <si>
    <t>МВА</t>
  </si>
  <si>
    <t>2. Заявленная мощность</t>
  </si>
  <si>
    <t>МВт</t>
  </si>
  <si>
    <t>3. Объем поступления э/энергии в сеть</t>
  </si>
  <si>
    <t>т.кВтч</t>
  </si>
  <si>
    <t>4. Объем поступления э/энергии на сторону</t>
  </si>
  <si>
    <t>5. Потери в сетях на сторону</t>
  </si>
  <si>
    <t>6. Потери в сетях на сторону</t>
  </si>
  <si>
    <t>7.Объем полезного отпуска на сторону</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</si>
  <si>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</si>
  <si>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</si>
  <si>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 
п/п</t>
  </si>
  <si>
    <t>Наименование показателей</t>
  </si>
  <si>
    <t>Единица изменения</t>
  </si>
  <si>
    <t>Фактические показатели за год, 2013 г.</t>
  </si>
  <si>
    <t>Показатели, утвержденные на базовый период 2014 г.</t>
  </si>
  <si>
    <t>Предложения на расчетный период регулирования 2015 г.</t>
  </si>
  <si>
    <t>Предложения на расчетный период регулирования 2016 г.</t>
  </si>
  <si>
    <t>Предложения на расчетный период регулирования 2017 г.</t>
  </si>
  <si>
    <t>Предложения на расчетный период регулирования 2018 г.</t>
  </si>
  <si>
    <t>Предложения на расчетный период регулирования 2019</t>
  </si>
  <si>
    <t>1-е полу-годие</t>
  </si>
  <si>
    <t>2-е полу-годие</t>
  </si>
  <si>
    <t>1.</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</si>
  <si>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</si>
  <si>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</si>
  <si>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</si>
  <si>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</si>
  <si>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</si>
  <si>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</si>
  <si>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</si>
  <si>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</si>
  <si>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</si>
  <si>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</si>
  <si>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</si>
  <si>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2.</t>
  </si>
  <si>
    <t>На услуги коммерческого оператора оптового рынка электрической энергии (мощности)</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</si>
  <si>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</si>
  <si>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</si>
  <si>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</si>
  <si>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</si>
  <si>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</si>
  <si>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</si>
  <si>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</si>
  <si>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процент</t>
  </si>
  <si>
    <t>менее 150 кВт</t>
  </si>
  <si>
    <t>от 150 кВт до 670 кВт</t>
  </si>
  <si>
    <t>от 670 кВт до 10 МВт</t>
  </si>
  <si>
    <t>не менее 10 МВт</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</si>
  <si>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</si>
  <si>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</si>
  <si>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</si>
  <si>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</si>
  <si>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</si>
  <si>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</si>
  <si>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</si>
  <si>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</si>
  <si>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</si>
  <si>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</si>
  <si>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</si>
  <si>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</si>
  <si>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</si>
  <si>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</si>
  <si>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</si>
  <si>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</si>
  <si>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</si>
  <si>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</si>
  <si>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</si>
  <si>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</si>
  <si>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</si>
  <si>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</si>
  <si>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</si>
  <si>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</si>
  <si>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</si>
  <si>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</si>
  <si>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</si>
  <si>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</si>
  <si>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</si>
  <si>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</si>
  <si>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</si>
  <si>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</si>
  <si>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</si>
  <si>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18.09.2014г</t>
  </si>
  <si>
    <t>Приложение № 2
к предложению о размере цен (тарифов), долгосрочных параметров регулирования</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</si>
  <si>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</si>
  <si>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Единица измерения</t>
  </si>
  <si>
    <t>Фактические показатели 
за 2013 год,</t>
  </si>
  <si>
    <t>Показатели, утвержденные 
на базовый период 2014 г.</t>
  </si>
  <si>
    <t>2015 г.</t>
  </si>
  <si>
    <t>2016 г.</t>
  </si>
  <si>
    <t>2017 г.</t>
  </si>
  <si>
    <t>2018 г.</t>
  </si>
  <si>
    <t>2019 г.</t>
  </si>
  <si>
    <t>Показатели эффективности деятельности организации</t>
  </si>
  <si>
    <t>Выручка</t>
  </si>
  <si>
    <t>тыс. рублей</t>
  </si>
  <si>
    <t>Прибыль (убыток) от продаж</t>
  </si>
  <si>
    <t>EBITDA (прибыль до процентов, налогов и амортизации)</t>
  </si>
  <si>
    <t>Чистая прибыль (убыток)</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</si>
  <si>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</si>
  <si>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</si>
  <si>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</si>
  <si>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</si>
  <si>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</si>
  <si>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t>МВт·ч</t>
  </si>
  <si>
    <r>
      <t xml:space="preserve">Заявленная мощность </t>
    </r>
    <r>
      <rPr>
        <vertAlign val="superscript"/>
        <sz val="12"/>
        <rFont val="Times New Roman"/>
        <family val="1"/>
      </rPr>
      <t>3</t>
    </r>
  </si>
  <si>
    <r>
      <t xml:space="preserve">
</t>
    </r>
    <r>
      <rPr>
        <sz val="12"/>
        <rFont val="Times New Roman"/>
        <family val="1"/>
      </rPr>
      <t>3.4.</t>
    </r>
  </si>
  <si>
    <r>
      <t xml:space="preserve">
</t>
    </r>
    <r>
      <rPr>
        <sz val="12"/>
        <rFont val="Times New Roman"/>
        <family val="1"/>
      </rPr>
      <t xml:space="preserve">Объем полезного отпуска электроэнергии - всего </t>
    </r>
    <r>
      <rPr>
        <vertAlign val="superscript"/>
        <sz val="12"/>
        <rFont val="Times New Roman"/>
        <family val="1"/>
      </rPr>
      <t>3</t>
    </r>
  </si>
  <si>
    <r>
      <t xml:space="preserve">
</t>
    </r>
    <r>
      <rPr>
        <sz val="12"/>
        <rFont val="Times New Roman"/>
        <family val="1"/>
      </rPr>
      <t>тыс. кВт·ч</t>
    </r>
  </si>
  <si>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</si>
  <si>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</si>
  <si>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t>тыс. кВт·ч</t>
  </si>
  <si>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</si>
  <si>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</si>
  <si>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1,35%                         (Приказ №432  от 13.09.2012г)</t>
  </si>
  <si>
    <t>1,35%                                        (Приказ № 659 от 26.09.2013г)</t>
  </si>
  <si>
    <t>1,35 %                              (Приказ № 449 от  22.07.2014)</t>
  </si>
  <si>
    <t>3.7.</t>
  </si>
  <si>
    <r>
      <t>Реквизиты программы энергоэффективности (кем утверждена, дата утверждения, номер приказа)</t>
    </r>
    <r>
      <rPr>
        <vertAlign val="superscript"/>
        <sz val="12"/>
        <rFont val="Times New Roman"/>
        <family val="1"/>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</si>
  <si>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</si>
  <si>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</si>
  <si>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Необходимая валовая выручка по регулируемым видам деятельности организации - всего</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</si>
  <si>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</si>
  <si>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t>в том числе:</t>
  </si>
  <si>
    <t>оплата труда</t>
  </si>
  <si>
    <t>ремонт основных фондов</t>
  </si>
  <si>
    <t>материальные затраты</t>
  </si>
  <si>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</si>
  <si>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</si>
  <si>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</si>
  <si>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</si>
  <si>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</si>
  <si>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2"/>
        <rFont val="Times New Roman"/>
        <family val="1"/>
      </rPr>
      <t>3</t>
    </r>
  </si>
  <si>
    <t>у.е.</t>
  </si>
  <si>
    <r>
      <t xml:space="preserve">Операционные расходы на условную единицу </t>
    </r>
    <r>
      <rPr>
        <vertAlign val="superscript"/>
        <sz val="12"/>
        <rFont val="Times New Roman"/>
        <family val="1"/>
      </rPr>
      <t>3</t>
    </r>
  </si>
  <si>
    <t>тыс. рублей (у.е.)</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</si>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</sst>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s>
  <fonts count="25">
    <font>
      <sz val="10"/>
      <name val="Arial"/>
      <family val="2"/>
    </font>
    <font>
      <sz val="11"/>
      <color indexed="8"/>
      <name val="Calibri"/>
      <family val="2"/>
    </font>
    <font>
      <sz val="10"/>
      <name val="Times New Roman"/>
      <family val="1"/>
    </font>
    <font>
      <b/>
      <sz val="14"/>
      <name val="Times New Roman"/>
      <family val="1"/>
    </font>
    <font>
      <sz val="11"/>
      <name val="Times New Roman"/>
      <family val="1"/>
    </font>
    <font>
      <sz val="9"/>
      <name val="Times New Roman"/>
      <family val="1"/>
    </font>
    <font>
      <b/>
      <sz val="9"/>
      <name val="Times New Roman"/>
      <family val="1"/>
    </font>
    <font>
      <sz val="11"/>
      <color indexed="8"/>
      <name val="Times New Roman"/>
      <family val="1"/>
    </font>
    <font>
      <sz val="8"/>
      <name val="Times New Roman"/>
      <family val="1"/>
    </font>
    <font>
      <b/>
      <sz val="10"/>
      <name val="Times New Roman"/>
      <family val="1"/>
    </font>
    <font>
      <b/>
      <sz val="8"/>
      <name val="Times New Roman"/>
      <family val="1"/>
    </font>
    <font>
      <sz val="12"/>
      <name val="Times New Roman"/>
      <family val="1"/>
    </font>
    <font>
      <sz val="8"/>
      <color indexed="8"/>
      <name val="Times New Roman"/>
      <family val="1"/>
    </font>
    <font>
      <sz val="10"/>
      <color indexed="8"/>
      <name val="Times New Roman"/>
      <family val="1"/>
    </font>
    <font>
      <sz val="12"/>
      <color indexed="8"/>
      <name val="Times New Roman"/>
      <family val="1"/>
    </font>
    <font>
      <sz val="9.5"/>
      <name val="Times New Roman"/>
      <family val="1"/>
    </font>
    <font>
      <b/>
      <sz val="12"/>
      <color indexed="8"/>
      <name val="Times New Roman"/>
      <family val="1"/>
    </font>
    <font>
      <b/>
      <sz val="10"/>
      <color indexed="8"/>
      <name val="Times New Roman"/>
      <family val="1"/>
    </font>
    <font>
      <sz val="14"/>
      <name val="Times New Roman"/>
      <family val="1"/>
    </font>
    <font>
      <sz val="13"/>
      <name val="Times New Roman"/>
      <family val="1"/>
    </font>
    <font>
      <vertAlign val="superscript"/>
      <sz val="11"/>
      <color indexed="8"/>
      <name val="Times New Roman"/>
      <family val="1"/>
    </font>
    <font>
      <sz val="10"/>
      <color indexed="9"/>
      <name val="Times New Roman"/>
      <family val="1"/>
    </font>
    <font>
      <vertAlign val="superscript"/>
      <sz val="12"/>
      <name val="Times New Roman"/>
      <family val="1"/>
    </font>
    <font>
      <i/>
      <sz val="12"/>
      <name val="Times New Roman"/>
      <family val="1"/>
    </font>
    <font>
      <vertAlign val="superscript"/>
      <sz val="10"/>
      <name val="Times New Roman"/>
      <family val="1"/>
    </font>
  </fonts>
  <fills count="5">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7">
    <border>
      <left/>
      <right/>
      <top/>
      <bottom/>
      <diagonal/>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63"/>
      </top>
      <bottom style="thin">
        <color indexed="63"/>
      </bottom>
    </border>
    <border>
      <left style="thin">
        <color indexed="8"/>
      </left>
      <right style="thin">
        <color indexed="8"/>
      </right>
      <top style="thin">
        <color indexed="63"/>
      </top>
      <bottom>
        <color indexed="63"/>
      </bottom>
    </border>
    <border>
      <left>
        <color indexed="63"/>
      </left>
      <right style="thin">
        <color indexed="8"/>
      </right>
      <top style="thin">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9" fontId="1" fillId="0" borderId="0">
      <alignment/>
      <protection/>
    </xf>
    <xf numFmtId="44" fontId="0" fillId="0" borderId="0" applyFill="0" applyBorder="0" applyAlignment="0" applyProtection="0"/>
    <xf numFmtId="42" fontId="0" fillId="0" borderId="0" applyFill="0" applyBorder="0" applyAlignment="0" applyProtection="0"/>
    <xf numFmtId="0" fontId="1" fillId="0" borderId="0">
      <alignment/>
      <protection/>
    </xf>
    <xf numFmtId="9" fontId="0" fillId="0" borderId="0" applyFill="0" applyBorder="0" applyAlignment="0" applyProtection="0"/>
    <xf numFmtId="43" fontId="0" fillId="0" borderId="0" applyFill="0" applyBorder="0" applyAlignment="0" applyProtection="0"/>
    <xf numFmtId="41" fontId="0" fillId="0" borderId="0" applyFill="0" applyBorder="0" applyAlignment="0" applyProtection="0"/>
  </cellStyleXfs>
  <cellXfs count="143">
    <xf numFmtId="0" fontId="0" fillId="0" borderId="0" xfId="0" applyAlignment="1">
      <alignment/>
    </xf>
    <xf numFmtId="0" fontId="2" fillId="0" borderId="0" xfId="15" applyFont="1" applyAlignment="1">
      <alignment horizontal="center"/>
      <protection/>
    </xf>
    <xf numFmtId="0" fontId="2" fillId="0" borderId="0" xfId="15" applyFont="1">
      <alignment/>
      <protection/>
    </xf>
    <xf numFmtId="0" fontId="2" fillId="0" borderId="0" xfId="15" applyFont="1" applyAlignment="1">
      <alignment horizontal="center" vertical="center" wrapText="1"/>
      <protection/>
    </xf>
    <xf numFmtId="0" fontId="2" fillId="0" borderId="0" xfId="15" applyFont="1" applyBorder="1" applyAlignment="1">
      <alignment horizontal="center" vertical="center" wrapText="1"/>
      <protection/>
    </xf>
    <xf numFmtId="0" fontId="4" fillId="0" borderId="0" xfId="15" applyFont="1" applyBorder="1" applyAlignment="1">
      <alignment horizontal="center" vertical="center" wrapText="1"/>
      <protection/>
    </xf>
    <xf numFmtId="0" fontId="2" fillId="0" borderId="1" xfId="15" applyFont="1" applyBorder="1" applyAlignment="1">
      <alignment horizontal="center" vertical="center" wrapText="1"/>
      <protection/>
    </xf>
    <xf numFmtId="0" fontId="4" fillId="0" borderId="1" xfId="15" applyFont="1" applyBorder="1" applyAlignment="1">
      <alignment horizontal="center" vertical="center" wrapText="1"/>
      <protection/>
    </xf>
    <xf numFmtId="0" fontId="5" fillId="0" borderId="2" xfId="15" applyFont="1" applyBorder="1" applyAlignment="1">
      <alignment horizontal="center" vertical="center" wrapText="1"/>
      <protection/>
    </xf>
    <xf numFmtId="0" fontId="6" fillId="0" borderId="3" xfId="15" applyFont="1" applyFill="1" applyBorder="1" applyAlignment="1">
      <alignment vertical="center" wrapText="1"/>
      <protection/>
    </xf>
    <xf numFmtId="0" fontId="6" fillId="0" borderId="4" xfId="15" applyFont="1" applyFill="1" applyBorder="1" applyAlignment="1">
      <alignment vertical="center" wrapText="1"/>
      <protection/>
    </xf>
    <xf numFmtId="0" fontId="7" fillId="0" borderId="5" xfId="15" applyFont="1" applyBorder="1" applyAlignment="1">
      <alignment horizontal="center" vertical="center" wrapText="1"/>
      <protection/>
    </xf>
    <xf numFmtId="0" fontId="6" fillId="0" borderId="5" xfId="15" applyFont="1" applyFill="1" applyBorder="1" applyAlignment="1">
      <alignment vertical="center" wrapText="1"/>
      <protection/>
    </xf>
    <xf numFmtId="0" fontId="6" fillId="0" borderId="5" xfId="15" applyFont="1" applyFill="1" applyBorder="1" applyAlignment="1">
      <alignment horizontal="center" vertical="center" wrapText="1"/>
      <protection/>
    </xf>
    <xf numFmtId="0" fontId="8" fillId="0" borderId="0" xfId="15" applyFont="1">
      <alignment/>
      <protection/>
    </xf>
    <xf numFmtId="0" fontId="5" fillId="0" borderId="6" xfId="15" applyFont="1" applyBorder="1" applyAlignment="1">
      <alignment horizontal="center" vertical="center" wrapText="1"/>
      <protection/>
    </xf>
    <xf numFmtId="0" fontId="5" fillId="0" borderId="7" xfId="15" applyFont="1" applyFill="1" applyBorder="1" applyAlignment="1">
      <alignment horizontal="center" vertical="center" wrapText="1"/>
      <protection/>
    </xf>
    <xf numFmtId="0" fontId="8" fillId="0" borderId="8" xfId="15" applyFont="1" applyBorder="1" applyAlignment="1">
      <alignment horizontal="center"/>
      <protection/>
    </xf>
    <xf numFmtId="0" fontId="8" fillId="0" borderId="5" xfId="15" applyFont="1" applyBorder="1" applyAlignment="1">
      <alignment horizontal="center"/>
      <protection/>
    </xf>
    <xf numFmtId="0" fontId="5" fillId="0" borderId="5" xfId="15" applyFont="1" applyBorder="1" applyAlignment="1">
      <alignment horizontal="center"/>
      <protection/>
    </xf>
    <xf numFmtId="0" fontId="2" fillId="0" borderId="5" xfId="15" applyFont="1" applyBorder="1">
      <alignment/>
      <protection/>
    </xf>
    <xf numFmtId="2" fontId="2" fillId="0" borderId="5" xfId="15" applyNumberFormat="1" applyFont="1" applyBorder="1" applyAlignment="1">
      <alignment horizontal="center"/>
      <protection/>
    </xf>
    <xf numFmtId="2" fontId="2" fillId="0" borderId="8" xfId="15" applyNumberFormat="1" applyFont="1" applyBorder="1" applyAlignment="1">
      <alignment horizontal="center"/>
      <protection/>
    </xf>
    <xf numFmtId="0" fontId="9" fillId="0" borderId="5" xfId="15" applyFont="1" applyBorder="1" applyAlignment="1">
      <alignment horizontal="center"/>
      <protection/>
    </xf>
    <xf numFmtId="0" fontId="9" fillId="0" borderId="5" xfId="15" applyFont="1" applyBorder="1" applyAlignment="1">
      <alignment horizontal="left" vertical="center"/>
      <protection/>
    </xf>
    <xf numFmtId="0" fontId="10" fillId="0" borderId="5" xfId="15" applyFont="1" applyBorder="1" applyAlignment="1">
      <alignment horizontal="center" vertical="center"/>
      <protection/>
    </xf>
    <xf numFmtId="0" fontId="10" fillId="0" borderId="8" xfId="15" applyFont="1" applyBorder="1" applyAlignment="1">
      <alignment horizontal="center" vertical="center"/>
      <protection/>
    </xf>
    <xf numFmtId="2" fontId="11" fillId="2" borderId="8" xfId="15" applyNumberFormat="1" applyFont="1" applyFill="1" applyBorder="1" applyAlignment="1">
      <alignment horizontal="right" vertical="center"/>
      <protection/>
    </xf>
    <xf numFmtId="0" fontId="2" fillId="0" borderId="5" xfId="15" applyFont="1" applyBorder="1" applyAlignment="1">
      <alignment horizontal="center"/>
      <protection/>
    </xf>
    <xf numFmtId="0" fontId="2" fillId="0" borderId="5" xfId="15" applyFont="1" applyBorder="1" applyAlignment="1">
      <alignment vertical="center" wrapText="1"/>
      <protection/>
    </xf>
    <xf numFmtId="0" fontId="8" fillId="0" borderId="5" xfId="15" applyFont="1" applyBorder="1" applyAlignment="1">
      <alignment horizontal="center" vertical="center"/>
      <protection/>
    </xf>
    <xf numFmtId="0" fontId="12" fillId="0" borderId="9" xfId="15" applyFont="1" applyFill="1" applyBorder="1" applyAlignment="1" applyProtection="1">
      <alignment horizontal="center" vertical="center" wrapText="1"/>
      <protection/>
    </xf>
    <xf numFmtId="0" fontId="11" fillId="3" borderId="5" xfId="15" applyFont="1" applyFill="1" applyBorder="1" applyAlignment="1">
      <alignment vertical="center"/>
      <protection/>
    </xf>
    <xf numFmtId="2" fontId="11" fillId="3" borderId="5" xfId="15" applyNumberFormat="1" applyFont="1" applyFill="1" applyBorder="1" applyAlignment="1">
      <alignment vertical="center"/>
      <protection/>
    </xf>
    <xf numFmtId="2" fontId="11" fillId="3" borderId="8" xfId="15" applyNumberFormat="1" applyFont="1" applyFill="1" applyBorder="1" applyAlignment="1">
      <alignment vertical="center"/>
      <protection/>
    </xf>
    <xf numFmtId="2" fontId="11" fillId="3" borderId="8" xfId="15" applyNumberFormat="1" applyFont="1" applyFill="1" applyBorder="1" applyAlignment="1">
      <alignment horizontal="right" vertical="center"/>
      <protection/>
    </xf>
    <xf numFmtId="0" fontId="2" fillId="0" borderId="5" xfId="15" applyFont="1" applyBorder="1" applyAlignment="1">
      <alignment vertical="center"/>
      <protection/>
    </xf>
    <xf numFmtId="2" fontId="11" fillId="3" borderId="5" xfId="15" applyNumberFormat="1" applyFont="1" applyFill="1" applyBorder="1" applyAlignment="1">
      <alignment horizontal="right" vertical="center"/>
      <protection/>
    </xf>
    <xf numFmtId="2" fontId="11" fillId="2" borderId="5" xfId="15" applyNumberFormat="1" applyFont="1" applyFill="1" applyBorder="1" applyAlignment="1">
      <alignment horizontal="right" vertical="center"/>
      <protection/>
    </xf>
    <xf numFmtId="49" fontId="2" fillId="0" borderId="5" xfId="15" applyNumberFormat="1" applyFont="1" applyBorder="1" applyAlignment="1">
      <alignment horizontal="center"/>
      <protection/>
    </xf>
    <xf numFmtId="2" fontId="11" fillId="2" borderId="5" xfId="15" applyNumberFormat="1" applyFont="1" applyFill="1" applyBorder="1" applyAlignment="1">
      <alignment vertical="center"/>
      <protection/>
    </xf>
    <xf numFmtId="0" fontId="13" fillId="0" borderId="9" xfId="15" applyFont="1" applyFill="1" applyBorder="1" applyAlignment="1" applyProtection="1">
      <alignment horizontal="left" vertical="center" wrapText="1"/>
      <protection/>
    </xf>
    <xf numFmtId="2" fontId="11" fillId="3" borderId="5" xfId="15" applyNumberFormat="1" applyFont="1" applyFill="1" applyBorder="1" applyAlignment="1">
      <alignment horizontal="center" vertical="center"/>
      <protection/>
    </xf>
    <xf numFmtId="0" fontId="2" fillId="0" borderId="5" xfId="15" applyNumberFormat="1" applyFont="1" applyBorder="1" applyAlignment="1">
      <alignment horizontal="center"/>
      <protection/>
    </xf>
    <xf numFmtId="0" fontId="13" fillId="0" borderId="10" xfId="15" applyFont="1" applyFill="1" applyBorder="1" applyAlignment="1" applyProtection="1">
      <alignment horizontal="left" vertical="center" wrapText="1"/>
      <protection/>
    </xf>
    <xf numFmtId="0" fontId="9" fillId="0" borderId="5" xfId="15" applyFont="1" applyBorder="1" applyAlignment="1">
      <alignment horizontal="center" vertical="center"/>
      <protection/>
    </xf>
    <xf numFmtId="49" fontId="9" fillId="0" borderId="7" xfId="15" applyNumberFormat="1" applyFont="1" applyBorder="1" applyAlignment="1">
      <alignment vertical="center" wrapText="1"/>
      <protection/>
    </xf>
    <xf numFmtId="0" fontId="10" fillId="0" borderId="7" xfId="15" applyFont="1" applyBorder="1" applyAlignment="1">
      <alignment horizontal="center" vertical="center"/>
      <protection/>
    </xf>
    <xf numFmtId="49" fontId="6" fillId="0" borderId="10" xfId="15" applyNumberFormat="1" applyFont="1" applyFill="1" applyBorder="1" applyAlignment="1" applyProtection="1">
      <alignment vertical="center" wrapText="1"/>
      <protection/>
    </xf>
    <xf numFmtId="2" fontId="14" fillId="2" borderId="11" xfId="15" applyNumberFormat="1" applyFont="1" applyFill="1" applyBorder="1" applyAlignment="1" applyProtection="1">
      <alignment horizontal="right" vertical="center" wrapText="1"/>
      <protection/>
    </xf>
    <xf numFmtId="2" fontId="14" fillId="2" borderId="10" xfId="15" applyNumberFormat="1" applyFont="1" applyFill="1" applyBorder="1" applyAlignment="1" applyProtection="1">
      <alignment horizontal="right" vertical="center" wrapText="1"/>
      <protection/>
    </xf>
    <xf numFmtId="2" fontId="11" fillId="2" borderId="12" xfId="15" applyNumberFormat="1" applyFont="1" applyFill="1" applyBorder="1" applyAlignment="1">
      <alignment horizontal="right" vertical="center"/>
      <protection/>
    </xf>
    <xf numFmtId="2" fontId="11" fillId="2" borderId="6" xfId="15" applyNumberFormat="1" applyFont="1" applyFill="1" applyBorder="1" applyAlignment="1">
      <alignment horizontal="right" vertical="center"/>
      <protection/>
    </xf>
    <xf numFmtId="0" fontId="2" fillId="0" borderId="5" xfId="15" applyFont="1" applyBorder="1" applyAlignment="1">
      <alignment horizontal="center" vertical="center"/>
      <protection/>
    </xf>
    <xf numFmtId="0" fontId="15" fillId="0" borderId="5" xfId="15" applyFont="1" applyBorder="1" applyAlignment="1">
      <alignment vertical="center" wrapText="1"/>
      <protection/>
    </xf>
    <xf numFmtId="49" fontId="6" fillId="0" borderId="5" xfId="15" applyNumberFormat="1" applyFont="1" applyFill="1" applyBorder="1" applyAlignment="1" applyProtection="1">
      <alignment vertical="center" wrapText="1"/>
      <protection/>
    </xf>
    <xf numFmtId="2" fontId="14" fillId="2" borderId="5" xfId="15" applyNumberFormat="1" applyFont="1" applyFill="1" applyBorder="1" applyAlignment="1" applyProtection="1">
      <alignment horizontal="right" vertical="center" wrapText="1"/>
      <protection/>
    </xf>
    <xf numFmtId="164" fontId="14" fillId="2" borderId="5" xfId="15" applyNumberFormat="1" applyFont="1" applyFill="1" applyBorder="1" applyAlignment="1" applyProtection="1">
      <alignment horizontal="right" vertical="center" wrapText="1"/>
      <protection/>
    </xf>
    <xf numFmtId="49" fontId="9" fillId="0" borderId="5" xfId="15" applyNumberFormat="1" applyFont="1" applyBorder="1" applyAlignment="1">
      <alignment vertical="center" wrapText="1"/>
      <protection/>
    </xf>
    <xf numFmtId="2" fontId="16" fillId="2" borderId="5" xfId="15" applyNumberFormat="1" applyFont="1" applyFill="1" applyBorder="1" applyAlignment="1" applyProtection="1">
      <alignment horizontal="right" vertical="center" wrapText="1"/>
      <protection/>
    </xf>
    <xf numFmtId="0" fontId="13" fillId="0" borderId="5" xfId="15" applyFont="1" applyFill="1" applyBorder="1" applyAlignment="1" applyProtection="1">
      <alignment horizontal="left" vertical="center" wrapText="1"/>
      <protection/>
    </xf>
    <xf numFmtId="2" fontId="16" fillId="0" borderId="5" xfId="15" applyNumberFormat="1" applyFont="1" applyFill="1" applyBorder="1" applyAlignment="1" applyProtection="1">
      <alignment horizontal="right" vertical="center" wrapText="1"/>
      <protection/>
    </xf>
    <xf numFmtId="2" fontId="2" fillId="0" borderId="0" xfId="15" applyNumberFormat="1" applyFont="1">
      <alignment/>
      <protection/>
    </xf>
    <xf numFmtId="0" fontId="13" fillId="0" borderId="5" xfId="15" applyFont="1" applyFill="1" applyBorder="1" applyAlignment="1" applyProtection="1">
      <alignment vertical="center" wrapText="1"/>
      <protection/>
    </xf>
    <xf numFmtId="2" fontId="11" fillId="0" borderId="8" xfId="15" applyNumberFormat="1" applyFont="1" applyFill="1" applyBorder="1" applyAlignment="1">
      <alignment horizontal="right" vertical="center"/>
      <protection/>
    </xf>
    <xf numFmtId="0" fontId="9" fillId="0" borderId="8" xfId="15" applyFont="1" applyBorder="1">
      <alignment/>
      <protection/>
    </xf>
    <xf numFmtId="49" fontId="6" fillId="0" borderId="6" xfId="15" applyNumberFormat="1" applyFont="1" applyFill="1" applyBorder="1" applyAlignment="1" applyProtection="1">
      <alignment vertical="center" wrapText="1"/>
      <protection/>
    </xf>
    <xf numFmtId="2" fontId="16" fillId="2" borderId="13" xfId="15" applyNumberFormat="1" applyFont="1" applyFill="1" applyBorder="1" applyAlignment="1" applyProtection="1">
      <alignment horizontal="right" vertical="center" wrapText="1"/>
      <protection/>
    </xf>
    <xf numFmtId="2" fontId="16" fillId="0" borderId="13" xfId="15" applyNumberFormat="1" applyFont="1" applyFill="1" applyBorder="1" applyAlignment="1" applyProtection="1">
      <alignment horizontal="right" vertical="center" wrapText="1"/>
      <protection/>
    </xf>
    <xf numFmtId="2" fontId="11" fillId="0" borderId="6" xfId="15" applyNumberFormat="1" applyFont="1" applyFill="1" applyBorder="1" applyAlignment="1">
      <alignment horizontal="right" vertical="center"/>
      <protection/>
    </xf>
    <xf numFmtId="0" fontId="9" fillId="0" borderId="5" xfId="15" applyFont="1" applyBorder="1">
      <alignment/>
      <protection/>
    </xf>
    <xf numFmtId="2" fontId="16" fillId="2" borderId="9" xfId="15" applyNumberFormat="1" applyFont="1" applyFill="1" applyBorder="1" applyAlignment="1" applyProtection="1">
      <alignment horizontal="right" vertical="center" wrapText="1"/>
      <protection/>
    </xf>
    <xf numFmtId="2" fontId="16" fillId="0" borderId="9" xfId="15" applyNumberFormat="1" applyFont="1" applyFill="1" applyBorder="1" applyAlignment="1" applyProtection="1">
      <alignment horizontal="right" vertical="center" wrapText="1"/>
      <protection/>
    </xf>
    <xf numFmtId="2" fontId="11" fillId="0" borderId="5" xfId="15" applyNumberFormat="1" applyFont="1" applyFill="1" applyBorder="1" applyAlignment="1">
      <alignment horizontal="right" vertical="center"/>
      <protection/>
    </xf>
    <xf numFmtId="0" fontId="14" fillId="2" borderId="9" xfId="15" applyFont="1" applyFill="1" applyBorder="1" applyAlignment="1" applyProtection="1">
      <alignment horizontal="right" vertical="center" wrapText="1"/>
      <protection/>
    </xf>
    <xf numFmtId="0" fontId="14" fillId="0" borderId="9" xfId="15" applyFont="1" applyFill="1" applyBorder="1" applyAlignment="1" applyProtection="1">
      <alignment horizontal="right" vertical="center" wrapText="1"/>
      <protection/>
    </xf>
    <xf numFmtId="0" fontId="10" fillId="0" borderId="5" xfId="15" applyFont="1" applyBorder="1" applyAlignment="1">
      <alignment horizontal="center"/>
      <protection/>
    </xf>
    <xf numFmtId="0" fontId="16" fillId="2" borderId="10" xfId="15" applyFont="1" applyFill="1" applyBorder="1" applyAlignment="1" applyProtection="1">
      <alignment horizontal="right" vertical="center" wrapText="1"/>
      <protection/>
    </xf>
    <xf numFmtId="0" fontId="16" fillId="0" borderId="10" xfId="15" applyFont="1" applyFill="1" applyBorder="1" applyAlignment="1" applyProtection="1">
      <alignment horizontal="right" vertical="center" wrapText="1"/>
      <protection/>
    </xf>
    <xf numFmtId="2" fontId="16" fillId="0" borderId="10" xfId="15" applyNumberFormat="1" applyFont="1" applyFill="1" applyBorder="1" applyAlignment="1" applyProtection="1">
      <alignment horizontal="right" vertical="center" wrapText="1"/>
      <protection/>
    </xf>
    <xf numFmtId="0" fontId="10" fillId="0" borderId="7" xfId="15" applyFont="1" applyBorder="1" applyAlignment="1">
      <alignment horizontal="center"/>
      <protection/>
    </xf>
    <xf numFmtId="0" fontId="9" fillId="0" borderId="5" xfId="15" applyFont="1" applyBorder="1" applyAlignment="1">
      <alignment wrapText="1"/>
      <protection/>
    </xf>
    <xf numFmtId="2" fontId="16" fillId="4" borderId="5" xfId="15" applyNumberFormat="1" applyFont="1" applyFill="1" applyBorder="1" applyAlignment="1" applyProtection="1">
      <alignment horizontal="right" vertical="center" wrapText="1"/>
      <protection/>
    </xf>
    <xf numFmtId="0" fontId="17" fillId="0" borderId="13" xfId="15" applyFont="1" applyFill="1" applyBorder="1" applyAlignment="1" applyProtection="1">
      <alignment horizontal="right" vertical="center" wrapText="1"/>
      <protection/>
    </xf>
    <xf numFmtId="0" fontId="2" fillId="0" borderId="5" xfId="15" applyFont="1" applyBorder="1" applyAlignment="1">
      <alignment horizontal="left"/>
      <protection/>
    </xf>
    <xf numFmtId="164" fontId="14" fillId="0" borderId="9" xfId="15" applyNumberFormat="1" applyFont="1" applyFill="1" applyBorder="1" applyAlignment="1" applyProtection="1">
      <alignment horizontal="right" vertical="center" wrapText="1"/>
      <protection/>
    </xf>
    <xf numFmtId="164" fontId="14" fillId="0" borderId="5" xfId="15" applyNumberFormat="1" applyFont="1" applyFill="1" applyBorder="1" applyAlignment="1" applyProtection="1">
      <alignment vertical="center" wrapText="1"/>
      <protection/>
    </xf>
    <xf numFmtId="0" fontId="14" fillId="0" borderId="5" xfId="15" applyFont="1" applyFill="1" applyBorder="1" applyAlignment="1" applyProtection="1">
      <alignment vertical="center" wrapText="1"/>
      <protection/>
    </xf>
    <xf numFmtId="0" fontId="14" fillId="2" borderId="6" xfId="15" applyFont="1" applyFill="1" applyBorder="1" applyAlignment="1" applyProtection="1">
      <alignment horizontal="right" vertical="center" wrapText="1"/>
      <protection/>
    </xf>
    <xf numFmtId="165" fontId="11" fillId="0" borderId="5" xfId="15" applyNumberFormat="1" applyFont="1" applyFill="1" applyBorder="1" applyAlignment="1">
      <alignment horizontal="right" vertical="center"/>
      <protection/>
    </xf>
    <xf numFmtId="165" fontId="11" fillId="0" borderId="5" xfId="15" applyNumberFormat="1" applyFont="1" applyFill="1" applyBorder="1" applyAlignment="1">
      <alignment vertical="center"/>
      <protection/>
    </xf>
    <xf numFmtId="2" fontId="14" fillId="2" borderId="9" xfId="15" applyNumberFormat="1" applyFont="1" applyFill="1" applyBorder="1" applyAlignment="1" applyProtection="1">
      <alignment horizontal="right" vertical="center" wrapText="1"/>
      <protection/>
    </xf>
    <xf numFmtId="2" fontId="14" fillId="0" borderId="5" xfId="15" applyNumberFormat="1" applyFont="1" applyFill="1" applyBorder="1" applyAlignment="1" applyProtection="1">
      <alignment horizontal="right" vertical="center" wrapText="1"/>
      <protection/>
    </xf>
    <xf numFmtId="2" fontId="14" fillId="0" borderId="9" xfId="15" applyNumberFormat="1" applyFont="1" applyFill="1" applyBorder="1" applyAlignment="1" applyProtection="1">
      <alignment horizontal="right" vertical="center" wrapText="1"/>
      <protection/>
    </xf>
    <xf numFmtId="0" fontId="5" fillId="0" borderId="0" xfId="15" applyFont="1">
      <alignment/>
      <protection/>
    </xf>
    <xf numFmtId="164" fontId="2" fillId="0" borderId="0" xfId="15" applyNumberFormat="1" applyFont="1">
      <alignment/>
      <protection/>
    </xf>
    <xf numFmtId="0" fontId="2" fillId="0" borderId="0" xfId="15" applyFont="1" applyBorder="1">
      <alignment/>
      <protection/>
    </xf>
    <xf numFmtId="2" fontId="11" fillId="0" borderId="0" xfId="15" applyNumberFormat="1" applyFont="1" applyFill="1" applyBorder="1" applyAlignment="1">
      <alignment horizontal="right" vertical="center"/>
      <protection/>
    </xf>
    <xf numFmtId="2" fontId="5" fillId="0" borderId="0" xfId="15" applyNumberFormat="1" applyFont="1" applyBorder="1" applyAlignment="1">
      <alignment vertical="center"/>
      <protection/>
    </xf>
    <xf numFmtId="0" fontId="9" fillId="0" borderId="0" xfId="15" applyFont="1">
      <alignment/>
      <protection/>
    </xf>
    <xf numFmtId="0" fontId="18" fillId="0" borderId="0" xfId="15" applyFont="1">
      <alignment/>
      <protection/>
    </xf>
    <xf numFmtId="0" fontId="18" fillId="0" borderId="0" xfId="15" applyFont="1" applyAlignment="1">
      <alignment horizontal="center"/>
      <protection/>
    </xf>
    <xf numFmtId="0" fontId="18" fillId="0" borderId="0" xfId="15" applyFont="1" applyBorder="1">
      <alignment/>
      <protection/>
    </xf>
    <xf numFmtId="0" fontId="2" fillId="0" borderId="0" xfId="15" applyFont="1" applyBorder="1" applyAlignment="1">
      <alignment vertical="center"/>
      <protection/>
    </xf>
    <xf numFmtId="0" fontId="11" fillId="0" borderId="0" xfId="15" applyFont="1">
      <alignment/>
      <protection/>
    </xf>
    <xf numFmtId="0" fontId="7" fillId="0" borderId="5" xfId="19" applyFont="1" applyBorder="1" applyAlignment="1">
      <alignment horizontal="center" vertical="center" wrapText="1"/>
      <protection/>
    </xf>
    <xf numFmtId="0" fontId="4" fillId="0" borderId="0" xfId="15" applyFont="1" applyAlignment="1">
      <alignment horizontal="center" vertical="center" wrapText="1"/>
      <protection/>
    </xf>
    <xf numFmtId="0" fontId="4" fillId="0" borderId="0" xfId="15" applyFont="1" applyAlignment="1">
      <alignment vertical="top"/>
      <protection/>
    </xf>
    <xf numFmtId="0" fontId="7" fillId="0" borderId="5" xfId="19" applyFont="1" applyBorder="1" applyAlignment="1">
      <alignment horizontal="center" vertical="top" wrapText="1"/>
      <protection/>
    </xf>
    <xf numFmtId="0" fontId="7" fillId="0" borderId="5" xfId="19" applyFont="1" applyBorder="1" applyAlignment="1">
      <alignment horizontal="left" vertical="top" wrapText="1"/>
      <protection/>
    </xf>
    <xf numFmtId="0" fontId="7" fillId="0" borderId="5" xfId="19" applyFont="1" applyBorder="1" applyAlignment="1">
      <alignment horizontal="center" vertical="top"/>
      <protection/>
    </xf>
    <xf numFmtId="0" fontId="21" fillId="0" borderId="0" xfId="15" applyFont="1">
      <alignment/>
      <protection/>
    </xf>
    <xf numFmtId="0" fontId="11" fillId="0" borderId="14" xfId="15" applyFont="1" applyBorder="1" applyAlignment="1">
      <alignment horizontal="center" vertical="center" wrapText="1"/>
      <protection/>
    </xf>
    <xf numFmtId="0" fontId="11" fillId="0" borderId="7" xfId="15" applyFont="1" applyBorder="1" applyAlignment="1">
      <alignment horizontal="center" vertical="center" wrapText="1"/>
      <protection/>
    </xf>
    <xf numFmtId="0" fontId="11" fillId="0" borderId="15" xfId="15" applyFont="1" applyBorder="1" applyAlignment="1">
      <alignment horizontal="center" vertical="center" wrapText="1"/>
      <protection/>
    </xf>
    <xf numFmtId="0" fontId="11" fillId="0" borderId="5" xfId="15" applyFont="1" applyBorder="1" applyAlignment="1">
      <alignment horizontal="center" vertical="center" wrapText="1"/>
      <protection/>
    </xf>
    <xf numFmtId="0" fontId="11" fillId="0" borderId="0" xfId="15" applyFont="1" applyAlignment="1">
      <alignment horizontal="center" vertical="center" wrapText="1"/>
      <protection/>
    </xf>
    <xf numFmtId="0" fontId="11" fillId="0" borderId="5" xfId="15" applyFont="1" applyBorder="1" applyAlignment="1">
      <alignment horizontal="center" vertical="top" wrapText="1"/>
      <protection/>
    </xf>
    <xf numFmtId="0" fontId="11" fillId="0" borderId="5" xfId="15" applyFont="1" applyBorder="1" applyAlignment="1">
      <alignment horizontal="left" vertical="top" wrapText="1"/>
      <protection/>
    </xf>
    <xf numFmtId="0" fontId="11" fillId="0" borderId="5" xfId="15" applyFont="1" applyBorder="1" applyAlignment="1">
      <alignment horizontal="center" vertical="top"/>
      <protection/>
    </xf>
    <xf numFmtId="0" fontId="11" fillId="0" borderId="0" xfId="15" applyFont="1" applyAlignment="1">
      <alignment vertical="top"/>
      <protection/>
    </xf>
    <xf numFmtId="0" fontId="11" fillId="0" borderId="5" xfId="15" applyFont="1" applyBorder="1" applyAlignment="1">
      <alignment horizontal="center" wrapText="1"/>
      <protection/>
    </xf>
    <xf numFmtId="0" fontId="11" fillId="0" borderId="5" xfId="15" applyFont="1" applyBorder="1" applyAlignment="1">
      <alignment horizontal="left" wrapText="1"/>
      <protection/>
    </xf>
    <xf numFmtId="0" fontId="11" fillId="0" borderId="5" xfId="15" applyFont="1" applyFill="1" applyBorder="1" applyAlignment="1">
      <alignment horizontal="center"/>
      <protection/>
    </xf>
    <xf numFmtId="0" fontId="11" fillId="0" borderId="0" xfId="15" applyFont="1" applyAlignment="1">
      <alignment/>
      <protection/>
    </xf>
    <xf numFmtId="0" fontId="11" fillId="0" borderId="5" xfId="15" applyFont="1" applyFill="1" applyBorder="1" applyAlignment="1">
      <alignment horizontal="center" vertical="center"/>
      <protection/>
    </xf>
    <xf numFmtId="0" fontId="11" fillId="0" borderId="5" xfId="15" applyFont="1" applyFill="1" applyBorder="1" applyAlignment="1">
      <alignment horizontal="center" vertical="top" wrapText="1"/>
      <protection/>
    </xf>
    <xf numFmtId="0" fontId="11" fillId="0" borderId="5" xfId="15" applyFont="1" applyBorder="1" applyAlignment="1">
      <alignment vertical="top"/>
      <protection/>
    </xf>
    <xf numFmtId="0" fontId="23" fillId="0" borderId="5" xfId="15" applyFont="1" applyBorder="1" applyAlignment="1">
      <alignment horizontal="left" vertical="top" wrapText="1"/>
      <protection/>
    </xf>
    <xf numFmtId="0" fontId="3" fillId="0" borderId="0" xfId="15" applyFont="1" applyBorder="1" applyAlignment="1">
      <alignment horizontal="center" vertical="center" wrapText="1"/>
      <protection/>
    </xf>
    <xf numFmtId="9" fontId="3" fillId="0" borderId="0" xfId="16" applyFont="1" applyFill="1" applyBorder="1" applyAlignment="1" applyProtection="1">
      <alignment horizontal="center" vertical="center" wrapText="1"/>
      <protection/>
    </xf>
    <xf numFmtId="0" fontId="4" fillId="0" borderId="0" xfId="15" applyFont="1" applyBorder="1" applyAlignment="1">
      <alignment horizontal="center" vertical="center" wrapText="1"/>
      <protection/>
    </xf>
    <xf numFmtId="0" fontId="5" fillId="0" borderId="8" xfId="15" applyFont="1" applyBorder="1" applyAlignment="1">
      <alignment horizontal="center" vertical="center"/>
      <protection/>
    </xf>
    <xf numFmtId="0" fontId="5" fillId="0" borderId="8" xfId="15" applyFont="1" applyBorder="1" applyAlignment="1">
      <alignment horizontal="center" vertical="center" wrapText="1"/>
      <protection/>
    </xf>
    <xf numFmtId="0" fontId="7" fillId="0" borderId="5" xfId="15" applyFont="1" applyBorder="1" applyAlignment="1">
      <alignment horizontal="center" vertical="center" wrapText="1"/>
      <protection/>
    </xf>
    <xf numFmtId="0" fontId="9" fillId="0" borderId="5" xfId="15" applyFont="1" applyBorder="1" applyAlignment="1">
      <alignment horizontal="center" vertical="center"/>
      <protection/>
    </xf>
    <xf numFmtId="0" fontId="9" fillId="0" borderId="5" xfId="15" applyFont="1" applyBorder="1" applyAlignment="1">
      <alignment horizontal="left"/>
      <protection/>
    </xf>
    <xf numFmtId="0" fontId="2" fillId="0" borderId="5" xfId="15" applyFont="1" applyBorder="1" applyAlignment="1">
      <alignment horizontal="left"/>
      <protection/>
    </xf>
    <xf numFmtId="0" fontId="2" fillId="0" borderId="0" xfId="15" applyFont="1" applyBorder="1" applyAlignment="1">
      <alignment horizontal="left" wrapText="1" indent="2"/>
      <protection/>
    </xf>
    <xf numFmtId="0" fontId="19" fillId="0" borderId="0" xfId="15" applyFont="1" applyBorder="1" applyAlignment="1">
      <alignment horizontal="center" wrapText="1"/>
      <protection/>
    </xf>
    <xf numFmtId="0" fontId="7" fillId="0" borderId="16" xfId="19" applyFont="1" applyBorder="1" applyAlignment="1">
      <alignment horizontal="center" vertical="center" wrapText="1"/>
      <protection/>
    </xf>
    <xf numFmtId="0" fontId="7" fillId="0" borderId="5" xfId="19" applyFont="1" applyBorder="1" applyAlignment="1">
      <alignment horizontal="center" vertical="center" wrapText="1"/>
      <protection/>
    </xf>
    <xf numFmtId="0" fontId="2" fillId="0" borderId="0" xfId="15" applyFont="1" applyBorder="1" applyAlignment="1">
      <alignment wrapText="1"/>
      <protection/>
    </xf>
  </cellXfs>
  <cellStyles count="9">
    <cellStyle name="Normal" xfId="0"/>
    <cellStyle name="Excel Built-in Normal" xfId="15"/>
    <cellStyle name="Excel Built-in Percent" xfId="16"/>
    <cellStyle name="Currency" xfId="17"/>
    <cellStyle name="Currency [0]" xfId="18"/>
    <cellStyle name="Обычный_стр.1_5"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EFEF00"/>
      <rgbColor rgb="00FF00FF"/>
      <rgbColor rgb="0000FFFF"/>
      <rgbColor rgb="00800000"/>
      <rgbColor rgb="00008000"/>
      <rgbColor rgb="00000080"/>
      <rgbColor rgb="00808000"/>
      <rgbColor rgb="00800080"/>
      <rgbColor rgb="00008080"/>
      <rgbColor rgb="00C0C0C0"/>
      <rgbColor rgb="00808080"/>
      <rgbColor rgb="009999FF"/>
      <rgbColor rgb="00993366"/>
      <rgbColor rgb="00EFEFF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R188"/>
  <sheetViews>
    <sheetView zoomScale="80" zoomScaleNormal="80" workbookViewId="0" topLeftCell="A2">
      <selection activeCell="G41" sqref="G41"/>
    </sheetView>
  </sheetViews>
  <sheetFormatPr defaultColWidth="9.140625" defaultRowHeight="12.75" customHeight="1"/>
  <cols>
    <col min="1" max="1" width="6.28125" style="1" customWidth="1"/>
    <col min="2" max="2" width="41.57421875" style="2" customWidth="1"/>
    <col min="3" max="3" width="11.140625" style="1" customWidth="1"/>
    <col min="4" max="4" width="0" style="1" hidden="1" customWidth="1"/>
    <col min="5" max="6" width="0" style="2" hidden="1" customWidth="1"/>
    <col min="7" max="7" width="17.7109375" style="2" customWidth="1"/>
    <col min="8" max="8" width="15.7109375" style="2" customWidth="1"/>
    <col min="9" max="9" width="13.8515625" style="2" customWidth="1"/>
    <col min="10" max="10" width="13.28125" style="2" customWidth="1"/>
    <col min="11" max="14" width="0" style="2" hidden="1" customWidth="1"/>
    <col min="15" max="15" width="13.421875" style="2" customWidth="1"/>
    <col min="16" max="16" width="13.57421875" style="2" customWidth="1"/>
    <col min="17" max="17" width="14.421875" style="2" customWidth="1"/>
    <col min="18" max="18" width="8.7109375" style="2" customWidth="1"/>
    <col min="19" max="19" width="9.421875" style="2" customWidth="1"/>
    <col min="20" max="253" width="8.8515625" style="2" customWidth="1"/>
    <col min="254" max="254" width="6.28125" style="2" customWidth="1"/>
    <col min="255" max="255" width="39.8515625" style="2" customWidth="1"/>
    <col min="256" max="16384" width="11.140625" style="2" customWidth="1"/>
  </cols>
  <sheetData>
    <row r="1" ht="12.75" customHeight="1" hidden="1"/>
    <row r="2" spans="2:18" ht="18" customHeight="1">
      <c r="B2" s="129" t="s">
        <v>0</v>
      </c>
      <c r="C2" s="129"/>
      <c r="D2" s="129"/>
      <c r="E2" s="129"/>
      <c r="F2" s="129"/>
      <c r="G2" s="129"/>
      <c r="H2" s="129"/>
      <c r="I2" s="129"/>
      <c r="J2" s="129"/>
      <c r="K2" s="129"/>
      <c r="L2" s="129"/>
      <c r="M2" s="129"/>
      <c r="N2" s="129"/>
      <c r="O2" s="129"/>
      <c r="P2" s="129"/>
      <c r="Q2" s="129"/>
      <c r="R2" s="129"/>
    </row>
    <row r="3" spans="1:18" ht="17.25" customHeight="1">
      <c r="A3" s="3"/>
      <c r="B3" s="130" t="s">
        <v>1</v>
      </c>
      <c r="C3" s="130"/>
      <c r="D3" s="130"/>
      <c r="E3" s="130"/>
      <c r="F3" s="130"/>
      <c r="G3" s="130"/>
      <c r="H3" s="130"/>
      <c r="I3" s="130"/>
      <c r="J3" s="130"/>
      <c r="K3" s="130"/>
      <c r="L3" s="130"/>
      <c r="M3" s="130"/>
      <c r="N3" s="130"/>
      <c r="O3" s="130"/>
      <c r="P3" s="130"/>
      <c r="Q3" s="130"/>
      <c r="R3" s="130"/>
    </row>
    <row r="4" spans="1:18" ht="12.75" customHeight="1">
      <c r="A4" s="4"/>
      <c r="B4" s="131" t="s">
        <v>2</v>
      </c>
      <c r="C4" s="131"/>
      <c r="D4" s="131"/>
      <c r="E4" s="131"/>
      <c r="F4" s="131"/>
      <c r="G4" s="131"/>
      <c r="H4" s="131"/>
      <c r="I4" s="131"/>
      <c r="J4" s="131"/>
      <c r="K4" s="131"/>
      <c r="L4" s="131"/>
      <c r="M4" s="131"/>
      <c r="N4" s="131"/>
      <c r="O4" s="131"/>
      <c r="P4" s="131"/>
      <c r="Q4" s="131"/>
      <c r="R4" s="131"/>
    </row>
    <row r="5" spans="1:18" ht="12.75" customHeight="1">
      <c r="A5" s="6"/>
      <c r="B5" s="7"/>
      <c r="C5" s="7"/>
      <c r="D5" s="7"/>
      <c r="E5" s="7"/>
      <c r="F5" s="7"/>
      <c r="G5" s="7"/>
      <c r="H5" s="7"/>
      <c r="I5" s="7"/>
      <c r="J5" s="7"/>
      <c r="K5" s="7"/>
      <c r="L5" s="7"/>
      <c r="M5" s="7"/>
      <c r="N5" s="7"/>
      <c r="O5" s="7"/>
      <c r="P5" s="7"/>
      <c r="Q5" s="7"/>
      <c r="R5" s="5"/>
    </row>
    <row r="6" spans="1:17" s="14" customFormat="1" ht="13.5" customHeight="1">
      <c r="A6" s="132" t="s">
        <v>3</v>
      </c>
      <c r="B6" s="132" t="s">
        <v>4</v>
      </c>
      <c r="C6" s="133" t="s">
        <v>5</v>
      </c>
      <c r="D6" s="8"/>
      <c r="E6" s="9" t="s">
        <v>6</v>
      </c>
      <c r="F6" s="10"/>
      <c r="G6" s="134" t="s">
        <v>7</v>
      </c>
      <c r="H6" s="134" t="s">
        <v>8</v>
      </c>
      <c r="I6" s="134" t="s">
        <v>9</v>
      </c>
      <c r="J6" s="134" t="s">
        <v>10</v>
      </c>
      <c r="K6" s="12"/>
      <c r="L6" s="12"/>
      <c r="M6" s="13"/>
      <c r="N6" s="13"/>
      <c r="O6" s="134" t="s">
        <v>11</v>
      </c>
      <c r="P6" s="134" t="s">
        <v>12</v>
      </c>
      <c r="Q6" s="134" t="s">
        <v>13</v>
      </c>
    </row>
    <row r="7" spans="1:17" s="14" customFormat="1" ht="47.25" customHeight="1">
      <c r="A7" s="132"/>
      <c r="B7" s="132"/>
      <c r="C7" s="133"/>
      <c r="D7" s="15"/>
      <c r="E7" s="16" t="s">
        <v>14</v>
      </c>
      <c r="F7" s="16" t="s">
        <v>15</v>
      </c>
      <c r="G7" s="134"/>
      <c r="H7" s="134"/>
      <c r="I7" s="134"/>
      <c r="J7" s="134"/>
      <c r="K7" s="11" t="s">
        <v>16</v>
      </c>
      <c r="L7" s="11" t="s">
        <v>17</v>
      </c>
      <c r="M7" s="11" t="s">
        <v>18</v>
      </c>
      <c r="N7" s="11" t="s">
        <v>19</v>
      </c>
      <c r="O7" s="134"/>
      <c r="P7" s="134"/>
      <c r="Q7" s="134"/>
    </row>
    <row r="8" spans="1:17" ht="10.5" customHeight="1">
      <c r="A8" s="17">
        <v>1</v>
      </c>
      <c r="B8" s="17">
        <v>2</v>
      </c>
      <c r="C8" s="17">
        <v>3</v>
      </c>
      <c r="D8" s="17"/>
      <c r="E8" s="18">
        <v>4</v>
      </c>
      <c r="F8" s="18">
        <v>5</v>
      </c>
      <c r="G8" s="18"/>
      <c r="H8" s="18"/>
      <c r="I8" s="18">
        <v>4</v>
      </c>
      <c r="J8" s="18">
        <v>5</v>
      </c>
      <c r="K8" s="18">
        <v>6</v>
      </c>
      <c r="L8" s="18">
        <v>7</v>
      </c>
      <c r="M8" s="18"/>
      <c r="N8" s="18"/>
      <c r="O8" s="18"/>
      <c r="P8" s="11"/>
      <c r="Q8" s="18"/>
    </row>
    <row r="9" spans="1:17" ht="12" customHeight="1">
      <c r="A9" s="19"/>
      <c r="B9" s="20" t="s">
        <v>20</v>
      </c>
      <c r="C9" s="17"/>
      <c r="D9" s="17"/>
      <c r="E9" s="17"/>
      <c r="F9" s="17"/>
      <c r="G9" s="17"/>
      <c r="H9" s="17"/>
      <c r="I9" s="21"/>
      <c r="J9" s="22"/>
      <c r="K9" s="22"/>
      <c r="L9" s="22"/>
      <c r="M9" s="22"/>
      <c r="N9" s="22"/>
      <c r="O9" s="22"/>
      <c r="P9" s="22"/>
      <c r="Q9" s="22"/>
    </row>
    <row r="10" spans="1:17" ht="15.75" customHeight="1">
      <c r="A10" s="23">
        <v>1</v>
      </c>
      <c r="B10" s="24" t="s">
        <v>21</v>
      </c>
      <c r="C10" s="25" t="s">
        <v>22</v>
      </c>
      <c r="D10" s="26"/>
      <c r="E10" s="27" t="str">
        <f>"'[1]регулир 01-07-12'!e14"</f>
        <v>'[1]регулир 01-07-12'!e14</v>
      </c>
      <c r="F10" s="27" t="str">
        <f>"'[1]регулир 01-07-12'!f14"</f>
        <v>'[1]регулир 01-07-12'!f14</v>
      </c>
      <c r="G10" s="27">
        <f>G11+G12+G13+G14+G26</f>
        <v>12469.293279999998</v>
      </c>
      <c r="H10" s="27">
        <f>H11+H12+H13+H14+H26</f>
        <v>56839.630520000006</v>
      </c>
      <c r="I10" s="27">
        <f>I11+I12+I13+I14+I26</f>
        <v>59510.43</v>
      </c>
      <c r="J10" s="27">
        <f aca="true" t="shared" si="0" ref="J10:Q10">J11+J12+J13+J14+J26</f>
        <v>62306.113719999994</v>
      </c>
      <c r="K10" s="27">
        <f t="shared" si="0"/>
        <v>2795.683720000001</v>
      </c>
      <c r="L10" s="27" t="e">
        <f t="shared" si="0"/>
        <v>#DIV/0!</v>
      </c>
      <c r="M10" s="27">
        <f t="shared" si="0"/>
        <v>0</v>
      </c>
      <c r="N10" s="27">
        <f t="shared" si="0"/>
        <v>0</v>
      </c>
      <c r="O10" s="27">
        <f t="shared" si="0"/>
        <v>65234.151</v>
      </c>
      <c r="P10" s="27">
        <f t="shared" si="0"/>
        <v>67569.33600000001</v>
      </c>
      <c r="Q10" s="27">
        <f t="shared" si="0"/>
        <v>70744.265</v>
      </c>
    </row>
    <row r="11" spans="1:17" ht="27" customHeight="1">
      <c r="A11" s="28" t="s">
        <v>23</v>
      </c>
      <c r="B11" s="29" t="s">
        <v>24</v>
      </c>
      <c r="C11" s="30" t="s">
        <v>22</v>
      </c>
      <c r="D11" s="31" t="s">
        <v>24</v>
      </c>
      <c r="E11" s="32" t="str">
        <f>"'[1]регулир 01-07-12'!e16"</f>
        <v>'[1]регулир 01-07-12'!e16</v>
      </c>
      <c r="F11" s="33" t="str">
        <f>"'[1]регулир 01-07-12'!f16"</f>
        <v>'[1]регулир 01-07-12'!f16</v>
      </c>
      <c r="G11" s="34">
        <v>1360.7548</v>
      </c>
      <c r="H11" s="34">
        <f>1496.34+213.36+246.144</f>
        <v>1955.8439999999998</v>
      </c>
      <c r="I11" s="35">
        <v>2047.764</v>
      </c>
      <c r="J11" s="35">
        <v>2144.00472</v>
      </c>
      <c r="K11" s="27">
        <f aca="true" t="shared" si="1" ref="K11:K60">J11-I11</f>
        <v>96.24072000000001</v>
      </c>
      <c r="L11" s="27">
        <f aca="true" t="shared" si="2" ref="L11:L60">J11/I11</f>
        <v>1.0469979548424526</v>
      </c>
      <c r="M11" s="27"/>
      <c r="N11" s="27"/>
      <c r="O11" s="27">
        <v>2244.77</v>
      </c>
      <c r="P11" s="27">
        <v>2350.277</v>
      </c>
      <c r="Q11" s="27">
        <v>2460.74</v>
      </c>
    </row>
    <row r="12" spans="1:17" ht="12.75" customHeight="1">
      <c r="A12" s="28" t="s">
        <v>25</v>
      </c>
      <c r="B12" s="36" t="s">
        <v>26</v>
      </c>
      <c r="C12" s="30" t="s">
        <v>22</v>
      </c>
      <c r="D12" s="31" t="s">
        <v>27</v>
      </c>
      <c r="E12" s="32" t="str">
        <f>"'[1]регулир 01-07-12'!e17"</f>
        <v>'[1]регулир 01-07-12'!e17</v>
      </c>
      <c r="F12" s="33" t="str">
        <f>"'[1]регулир 01-07-12'!f17"</f>
        <v>'[1]регулир 01-07-12'!f17</v>
      </c>
      <c r="G12" s="33"/>
      <c r="H12" s="33"/>
      <c r="I12" s="37"/>
      <c r="J12" s="37"/>
      <c r="K12" s="38">
        <f t="shared" si="1"/>
        <v>0</v>
      </c>
      <c r="L12" s="38"/>
      <c r="M12" s="38"/>
      <c r="N12" s="38"/>
      <c r="O12" s="38"/>
      <c r="P12" s="38"/>
      <c r="Q12" s="38"/>
    </row>
    <row r="13" spans="1:17" ht="12.75" customHeight="1">
      <c r="A13" s="28" t="s">
        <v>28</v>
      </c>
      <c r="B13" s="29" t="s">
        <v>29</v>
      </c>
      <c r="C13" s="30" t="s">
        <v>22</v>
      </c>
      <c r="D13" s="31" t="s">
        <v>29</v>
      </c>
      <c r="E13" s="32" t="str">
        <f>"'[1]регулир 01-07-12'!e18"</f>
        <v>'[1]регулир 01-07-12'!e18</v>
      </c>
      <c r="F13" s="33" t="str">
        <f>"'[1]регулир 01-07-12'!f18"</f>
        <v>'[1]регулир 01-07-12'!f18</v>
      </c>
      <c r="G13" s="33">
        <f>25576.197+429.635</f>
        <v>26005.832</v>
      </c>
      <c r="H13" s="33">
        <f>17489.644+10620+142</f>
        <v>28251.644</v>
      </c>
      <c r="I13" s="37">
        <v>29579.467</v>
      </c>
      <c r="J13" s="37">
        <v>30969.705</v>
      </c>
      <c r="K13" s="38">
        <f t="shared" si="1"/>
        <v>1390.2380000000012</v>
      </c>
      <c r="L13" s="38">
        <f t="shared" si="2"/>
        <v>1.0470001031458749</v>
      </c>
      <c r="M13" s="38"/>
      <c r="N13" s="38"/>
      <c r="O13" s="38">
        <v>32425.281</v>
      </c>
      <c r="P13" s="38">
        <v>33949.269</v>
      </c>
      <c r="Q13" s="38">
        <v>35544.885</v>
      </c>
    </row>
    <row r="14" spans="1:17" ht="13.5" customHeight="1">
      <c r="A14" s="39" t="s">
        <v>30</v>
      </c>
      <c r="B14" s="36" t="s">
        <v>31</v>
      </c>
      <c r="C14" s="30" t="s">
        <v>22</v>
      </c>
      <c r="D14" s="31" t="s">
        <v>32</v>
      </c>
      <c r="E14" s="40" t="str">
        <f>"'[1]регулир 01-07-12'!e19"</f>
        <v>'[1]регулир 01-07-12'!e19</v>
      </c>
      <c r="F14" s="40" t="str">
        <f>"'[1]регулир 01-07-12'!f19"</f>
        <v>'[1]регулир 01-07-12'!f19</v>
      </c>
      <c r="G14" s="40">
        <f>G16+G17+G18+G19+G20+G21+G22+G23+G24+G25</f>
        <v>10875.43148</v>
      </c>
      <c r="H14" s="40">
        <f aca="true" t="shared" si="3" ref="H14:Q14">H17+H18+H19+H20+H21+H22+H23+H24+H25+H15+H16</f>
        <v>26632.14252</v>
      </c>
      <c r="I14" s="40">
        <f t="shared" si="3"/>
        <v>27883.199</v>
      </c>
      <c r="J14" s="40">
        <f t="shared" si="3"/>
        <v>29192.404</v>
      </c>
      <c r="K14" s="40">
        <f t="shared" si="3"/>
        <v>1309.2049999999997</v>
      </c>
      <c r="L14" s="40">
        <f t="shared" si="3"/>
        <v>3.1408552818653543</v>
      </c>
      <c r="M14" s="40">
        <f t="shared" si="3"/>
        <v>0</v>
      </c>
      <c r="N14" s="40">
        <f t="shared" si="3"/>
        <v>0</v>
      </c>
      <c r="O14" s="40">
        <f t="shared" si="3"/>
        <v>30564.1</v>
      </c>
      <c r="P14" s="40">
        <f t="shared" si="3"/>
        <v>31269.79</v>
      </c>
      <c r="Q14" s="40">
        <f t="shared" si="3"/>
        <v>32738.64</v>
      </c>
    </row>
    <row r="15" spans="1:17" ht="13.5" customHeight="1">
      <c r="A15" s="28" t="s">
        <v>33</v>
      </c>
      <c r="B15" s="36" t="s">
        <v>34</v>
      </c>
      <c r="C15" s="30" t="s">
        <v>22</v>
      </c>
      <c r="D15" s="31" t="s">
        <v>34</v>
      </c>
      <c r="E15" s="32" t="str">
        <f>"'[1]регулир 01-07-12'!e20"</f>
        <v>'[1]регулир 01-07-12'!e20</v>
      </c>
      <c r="F15" s="33" t="str">
        <f>"'[1]регулир 01-07-12'!f20"</f>
        <v>'[1]регулир 01-07-12'!f20</v>
      </c>
      <c r="G15" s="33">
        <v>5973.49011</v>
      </c>
      <c r="H15" s="33">
        <v>13555.05847</v>
      </c>
      <c r="I15" s="33">
        <v>14192.147</v>
      </c>
      <c r="J15" s="35">
        <v>14859.18</v>
      </c>
      <c r="K15" s="27">
        <f t="shared" si="1"/>
        <v>667.0329999999994</v>
      </c>
      <c r="L15" s="27">
        <f t="shared" si="2"/>
        <v>1.0470001473350015</v>
      </c>
      <c r="M15" s="27"/>
      <c r="N15" s="27"/>
      <c r="O15" s="27">
        <v>15557.56</v>
      </c>
      <c r="P15" s="27">
        <v>15557.56</v>
      </c>
      <c r="Q15" s="27">
        <v>16288.76</v>
      </c>
    </row>
    <row r="16" spans="1:17" ht="15.75" customHeight="1">
      <c r="A16" s="39" t="s">
        <v>35</v>
      </c>
      <c r="B16" s="36" t="s">
        <v>36</v>
      </c>
      <c r="C16" s="30" t="s">
        <v>22</v>
      </c>
      <c r="D16" s="31" t="s">
        <v>37</v>
      </c>
      <c r="E16" s="32" t="str">
        <f>"'[1]регулир 01-07-12'!e22"</f>
        <v>'[1]регулир 01-07-12'!e22</v>
      </c>
      <c r="F16" s="33" t="str">
        <f>"'[1]регулир 01-07-12'!f22"</f>
        <v>'[1]регулир 01-07-12'!f22</v>
      </c>
      <c r="G16" s="33">
        <v>1529.95346</v>
      </c>
      <c r="H16" s="33">
        <v>1707.9363</v>
      </c>
      <c r="I16" s="33">
        <v>1788.213</v>
      </c>
      <c r="J16" s="37">
        <v>1872</v>
      </c>
      <c r="K16" s="38">
        <f t="shared" si="1"/>
        <v>83.78700000000003</v>
      </c>
      <c r="L16" s="38">
        <f t="shared" si="2"/>
        <v>1.0468551565165896</v>
      </c>
      <c r="M16" s="38"/>
      <c r="N16" s="38"/>
      <c r="O16" s="38">
        <v>1960</v>
      </c>
      <c r="P16" s="38">
        <v>2052.14</v>
      </c>
      <c r="Q16" s="38">
        <v>2148.59</v>
      </c>
    </row>
    <row r="17" spans="1:17" ht="31.5" customHeight="1">
      <c r="A17" s="39" t="s">
        <v>38</v>
      </c>
      <c r="B17" s="41" t="s">
        <v>39</v>
      </c>
      <c r="C17" s="30" t="s">
        <v>22</v>
      </c>
      <c r="D17" s="31" t="s">
        <v>40</v>
      </c>
      <c r="E17" s="32" t="str">
        <f>"'[1]регулир 01-07-12'!e23"</f>
        <v>'[1]регулир 01-07-12'!e23</v>
      </c>
      <c r="F17" s="33" t="str">
        <f>"'[1]регулир 01-07-12'!f23"</f>
        <v>'[1]регулир 01-07-12'!f23</v>
      </c>
      <c r="G17" s="33">
        <v>2274.52868</v>
      </c>
      <c r="H17" s="33">
        <f>578.06988+1854.61251+257.38851+90.546</f>
        <v>2780.6168999999995</v>
      </c>
      <c r="I17" s="33">
        <v>2910.66</v>
      </c>
      <c r="J17" s="37">
        <v>3047.46</v>
      </c>
      <c r="K17" s="38">
        <f t="shared" si="1"/>
        <v>136.80000000000018</v>
      </c>
      <c r="L17" s="38"/>
      <c r="M17" s="38"/>
      <c r="N17" s="38"/>
      <c r="O17" s="38">
        <v>3190.69</v>
      </c>
      <c r="P17" s="38">
        <v>3340.65</v>
      </c>
      <c r="Q17" s="38">
        <v>3497.66</v>
      </c>
    </row>
    <row r="18" spans="1:17" ht="13.5" customHeight="1">
      <c r="A18" s="39" t="s">
        <v>41</v>
      </c>
      <c r="B18" s="41" t="s">
        <v>42</v>
      </c>
      <c r="C18" s="30" t="s">
        <v>22</v>
      </c>
      <c r="D18" s="31" t="s">
        <v>43</v>
      </c>
      <c r="E18" s="32" t="str">
        <f>"'[1]регулир 01-07-12'!e24"</f>
        <v>'[1]регулир 01-07-12'!e24</v>
      </c>
      <c r="F18" s="33" t="str">
        <f>"'[1]регулир 01-07-12'!f24"</f>
        <v>'[1]регулир 01-07-12'!f24</v>
      </c>
      <c r="G18" s="33"/>
      <c r="H18" s="33"/>
      <c r="I18" s="33"/>
      <c r="J18" s="37"/>
      <c r="K18" s="38">
        <f t="shared" si="1"/>
        <v>0</v>
      </c>
      <c r="L18" s="38"/>
      <c r="M18" s="38"/>
      <c r="N18" s="38"/>
      <c r="O18" s="38"/>
      <c r="P18" s="38"/>
      <c r="Q18" s="38"/>
    </row>
    <row r="19" spans="1:17" ht="13.5" customHeight="1">
      <c r="A19" s="39" t="s">
        <v>44</v>
      </c>
      <c r="B19" s="41" t="s">
        <v>45</v>
      </c>
      <c r="C19" s="30" t="s">
        <v>22</v>
      </c>
      <c r="D19" s="31" t="s">
        <v>46</v>
      </c>
      <c r="E19" s="32" t="str">
        <f>"'[1]регулир 01-07-12'!e25"</f>
        <v>'[1]регулир 01-07-12'!e25</v>
      </c>
      <c r="F19" s="33" t="str">
        <f>"'[1]регулир 01-07-12'!f25"</f>
        <v>'[1]регулир 01-07-12'!f25</v>
      </c>
      <c r="G19" s="33"/>
      <c r="H19" s="33"/>
      <c r="I19" s="33"/>
      <c r="J19" s="37"/>
      <c r="K19" s="38">
        <f t="shared" si="1"/>
        <v>0</v>
      </c>
      <c r="L19" s="38"/>
      <c r="M19" s="38"/>
      <c r="N19" s="38"/>
      <c r="O19" s="38"/>
      <c r="P19" s="38"/>
      <c r="Q19" s="38"/>
    </row>
    <row r="20" spans="1:17" ht="12.75" customHeight="1">
      <c r="A20" s="39" t="s">
        <v>47</v>
      </c>
      <c r="B20" s="41" t="s">
        <v>48</v>
      </c>
      <c r="C20" s="30" t="s">
        <v>22</v>
      </c>
      <c r="D20" s="31" t="s">
        <v>48</v>
      </c>
      <c r="E20" s="32" t="str">
        <f>"'[1]регулир 01-07-12'!e26"</f>
        <v>'[1]регулир 01-07-12'!e26</v>
      </c>
      <c r="F20" s="33" t="str">
        <f>"'[1]регулир 01-07-12'!f26"</f>
        <v>'[1]регулир 01-07-12'!f26</v>
      </c>
      <c r="G20" s="33">
        <v>312.64757</v>
      </c>
      <c r="H20" s="33">
        <v>428.63485</v>
      </c>
      <c r="I20" s="33">
        <v>448.775</v>
      </c>
      <c r="J20" s="37">
        <v>468.825</v>
      </c>
      <c r="K20" s="38">
        <f t="shared" si="1"/>
        <v>20.05000000000001</v>
      </c>
      <c r="L20" s="38"/>
      <c r="M20" s="38"/>
      <c r="N20" s="38"/>
      <c r="O20" s="38">
        <v>490.86</v>
      </c>
      <c r="P20" s="38">
        <v>513.93</v>
      </c>
      <c r="Q20" s="38">
        <v>538.08</v>
      </c>
    </row>
    <row r="21" spans="1:17" ht="18.75" customHeight="1">
      <c r="A21" s="39" t="s">
        <v>49</v>
      </c>
      <c r="B21" s="41" t="s">
        <v>50</v>
      </c>
      <c r="C21" s="30" t="s">
        <v>22</v>
      </c>
      <c r="D21" s="31" t="s">
        <v>51</v>
      </c>
      <c r="E21" s="32" t="str">
        <f>"'[1]регулир 01-07-12'!e28"</f>
        <v>'[1]регулир 01-07-12'!e28</v>
      </c>
      <c r="F21" s="33" t="str">
        <f>"'[1]регулир 01-07-12'!f28"</f>
        <v>'[1]регулир 01-07-12'!f28</v>
      </c>
      <c r="G21" s="33"/>
      <c r="H21" s="33"/>
      <c r="I21" s="33"/>
      <c r="J21" s="37"/>
      <c r="K21" s="38">
        <f t="shared" si="1"/>
        <v>0</v>
      </c>
      <c r="L21" s="38"/>
      <c r="M21" s="38"/>
      <c r="N21" s="38"/>
      <c r="O21" s="38"/>
      <c r="P21" s="38"/>
      <c r="Q21" s="38"/>
    </row>
    <row r="22" spans="1:17" ht="30" customHeight="1">
      <c r="A22" s="39" t="s">
        <v>52</v>
      </c>
      <c r="B22" s="41" t="s">
        <v>53</v>
      </c>
      <c r="C22" s="30" t="s">
        <v>22</v>
      </c>
      <c r="D22" s="31" t="s">
        <v>53</v>
      </c>
      <c r="E22" s="32" t="str">
        <f>"'[1]регулир 01-07-12'!e30"</f>
        <v>'[1]регулир 01-07-12'!e30</v>
      </c>
      <c r="F22" s="33" t="str">
        <f>"'[1]регулир 01-07-12'!f30"</f>
        <v>'[1]регулир 01-07-12'!f30</v>
      </c>
      <c r="G22" s="33">
        <v>548.90472</v>
      </c>
      <c r="H22" s="33">
        <v>622.86279</v>
      </c>
      <c r="I22" s="33">
        <v>652.134</v>
      </c>
      <c r="J22" s="37">
        <v>682.78</v>
      </c>
      <c r="K22" s="38">
        <f t="shared" si="1"/>
        <v>30.645999999999958</v>
      </c>
      <c r="L22" s="38"/>
      <c r="M22" s="38"/>
      <c r="N22" s="38"/>
      <c r="O22" s="38">
        <v>714.87</v>
      </c>
      <c r="P22" s="38">
        <v>748.47</v>
      </c>
      <c r="Q22" s="38">
        <v>783.65</v>
      </c>
    </row>
    <row r="23" spans="1:17" ht="13.5" customHeight="1">
      <c r="A23" s="39" t="s">
        <v>54</v>
      </c>
      <c r="B23" s="41" t="s">
        <v>55</v>
      </c>
      <c r="C23" s="30" t="s">
        <v>22</v>
      </c>
      <c r="D23" s="31" t="s">
        <v>55</v>
      </c>
      <c r="E23" s="32" t="str">
        <f>"'[1]регулир 01-07-12'!e31"</f>
        <v>'[1]регулир 01-07-12'!e31</v>
      </c>
      <c r="F23" s="33" t="str">
        <f>"'[1]регулир 01-07-12'!f31"</f>
        <v>'[1]регулир 01-07-12'!f31</v>
      </c>
      <c r="G23" s="42"/>
      <c r="H23" s="33"/>
      <c r="I23" s="33"/>
      <c r="J23" s="37"/>
      <c r="K23" s="38">
        <f t="shared" si="1"/>
        <v>0</v>
      </c>
      <c r="L23" s="38"/>
      <c r="M23" s="38"/>
      <c r="N23" s="38"/>
      <c r="O23" s="38"/>
      <c r="P23" s="38"/>
      <c r="Q23" s="38"/>
    </row>
    <row r="24" spans="1:17" ht="13.5" customHeight="1">
      <c r="A24" s="39" t="s">
        <v>56</v>
      </c>
      <c r="B24" s="41" t="s">
        <v>57</v>
      </c>
      <c r="C24" s="30" t="s">
        <v>22</v>
      </c>
      <c r="D24" s="31" t="s">
        <v>57</v>
      </c>
      <c r="E24" s="32" t="str">
        <f>"'[1]регулир 01-07-12'!e32"</f>
        <v>'[1]регулир 01-07-12'!e32</v>
      </c>
      <c r="F24" s="33" t="str">
        <f>"'[1]регулир 01-07-12'!f32"</f>
        <v>'[1]регулир 01-07-12'!f32</v>
      </c>
      <c r="G24" s="33">
        <v>2590.15958</v>
      </c>
      <c r="H24" s="33">
        <v>3040.8856</v>
      </c>
      <c r="I24" s="33">
        <v>3183.81</v>
      </c>
      <c r="J24" s="37">
        <v>3333.449</v>
      </c>
      <c r="K24" s="38">
        <f t="shared" si="1"/>
        <v>149.63900000000012</v>
      </c>
      <c r="L24" s="38">
        <f t="shared" si="2"/>
        <v>1.0469999780137633</v>
      </c>
      <c r="M24" s="38"/>
      <c r="N24" s="38"/>
      <c r="O24" s="38">
        <v>3490.12</v>
      </c>
      <c r="P24" s="38">
        <v>3654.15</v>
      </c>
      <c r="Q24" s="38">
        <v>3825.9</v>
      </c>
    </row>
    <row r="25" spans="1:17" ht="13.5" customHeight="1">
      <c r="A25" s="39" t="s">
        <v>58</v>
      </c>
      <c r="B25" s="41" t="s">
        <v>59</v>
      </c>
      <c r="C25" s="30" t="s">
        <v>22</v>
      </c>
      <c r="D25" s="31" t="s">
        <v>59</v>
      </c>
      <c r="E25" s="32" t="str">
        <f>"'[1]регулир 01-07-12'!e33"</f>
        <v>'[1]регулир 01-07-12'!e33</v>
      </c>
      <c r="F25" s="33" t="str">
        <f>"'[1]регулир 01-07-12'!f33"</f>
        <v>'[1]регулир 01-07-12'!f33</v>
      </c>
      <c r="G25" s="33">
        <v>3619.23747</v>
      </c>
      <c r="H25" s="33">
        <v>4496.14761</v>
      </c>
      <c r="I25" s="33">
        <v>4707.46</v>
      </c>
      <c r="J25" s="37">
        <v>4928.71</v>
      </c>
      <c r="K25" s="38">
        <f t="shared" si="1"/>
        <v>221.25</v>
      </c>
      <c r="L25" s="38"/>
      <c r="M25" s="38"/>
      <c r="N25" s="38"/>
      <c r="O25" s="38">
        <v>5160</v>
      </c>
      <c r="P25" s="38">
        <v>5402.89</v>
      </c>
      <c r="Q25" s="38">
        <v>5656</v>
      </c>
    </row>
    <row r="26" spans="1:17" ht="12.75" customHeight="1">
      <c r="A26" s="39" t="s">
        <v>60</v>
      </c>
      <c r="B26" s="41" t="s">
        <v>61</v>
      </c>
      <c r="C26" s="30" t="s">
        <v>22</v>
      </c>
      <c r="D26" s="31" t="s">
        <v>62</v>
      </c>
      <c r="E26" s="33" t="str">
        <f>"'[1]регулир 01-07-12'!e34"</f>
        <v>'[1]регулир 01-07-12'!e34</v>
      </c>
      <c r="F26" s="33" t="str">
        <f>"'[1]регулир 01-07-12'!f34"</f>
        <v>'[1]регулир 01-07-12'!f34</v>
      </c>
      <c r="G26" s="33">
        <v>-25772.725</v>
      </c>
      <c r="H26" s="33"/>
      <c r="I26" s="33"/>
      <c r="J26" s="37"/>
      <c r="K26" s="38">
        <f t="shared" si="1"/>
        <v>0</v>
      </c>
      <c r="L26" s="38" t="e">
        <f t="shared" si="2"/>
        <v>#DIV/0!</v>
      </c>
      <c r="M26" s="38"/>
      <c r="N26" s="38"/>
      <c r="O26" s="38"/>
      <c r="P26" s="38"/>
      <c r="Q26" s="38"/>
    </row>
    <row r="27" spans="1:17" ht="15.75" customHeight="1">
      <c r="A27" s="23">
        <v>2</v>
      </c>
      <c r="B27" s="24" t="s">
        <v>63</v>
      </c>
      <c r="C27" s="25" t="s">
        <v>22</v>
      </c>
      <c r="D27" s="31"/>
      <c r="E27" s="40" t="str">
        <f>"'[1]регулир 01-07-12'!e35"</f>
        <v>'[1]регулир 01-07-12'!e35</v>
      </c>
      <c r="F27" s="40" t="str">
        <f>"'[1]регулир 01-07-12'!f35"</f>
        <v>'[1]регулир 01-07-12'!f35</v>
      </c>
      <c r="G27" s="40">
        <f>G28+G29+G30+G34+G35+G36+G38+G39</f>
        <v>11290.318640000001</v>
      </c>
      <c r="H27" s="40">
        <f>H28+H29+H30+H34+H35+H36+H38+H39</f>
        <v>13404.23037</v>
      </c>
      <c r="I27" s="40">
        <f>I28+I29+I30+I34+I35+I36+I38+I39</f>
        <v>13917.345000000001</v>
      </c>
      <c r="J27" s="40">
        <f aca="true" t="shared" si="4" ref="J27:Q27">J28+J29+J30+J34+J35+J36+J38+J39</f>
        <v>14452.12</v>
      </c>
      <c r="K27" s="40">
        <f t="shared" si="4"/>
        <v>3021.5250000000005</v>
      </c>
      <c r="L27" s="40" t="e">
        <f t="shared" si="4"/>
        <v>#DIV/0!</v>
      </c>
      <c r="M27" s="40">
        <f t="shared" si="4"/>
        <v>2486.75</v>
      </c>
      <c r="N27" s="40">
        <f t="shared" si="4"/>
        <v>2486.75</v>
      </c>
      <c r="O27" s="40">
        <f t="shared" si="4"/>
        <v>17016.523</v>
      </c>
      <c r="P27" s="40">
        <f t="shared" si="4"/>
        <v>17699.035</v>
      </c>
      <c r="Q27" s="40">
        <f t="shared" si="4"/>
        <v>18413.917999999998</v>
      </c>
    </row>
    <row r="28" spans="1:17" ht="13.5" customHeight="1">
      <c r="A28" s="43" t="s">
        <v>64</v>
      </c>
      <c r="B28" s="41" t="s">
        <v>65</v>
      </c>
      <c r="C28" s="30" t="s">
        <v>22</v>
      </c>
      <c r="D28" s="31" t="s">
        <v>65</v>
      </c>
      <c r="E28" s="33" t="str">
        <f>"'[1]регулир 01-07-12'!e36"</f>
        <v>'[1]регулир 01-07-12'!e36</v>
      </c>
      <c r="F28" s="33" t="str">
        <f>"'[1]регулир 01-07-12'!f36"</f>
        <v>'[1]регулир 01-07-12'!f36</v>
      </c>
      <c r="G28" s="33"/>
      <c r="H28" s="33"/>
      <c r="I28" s="33"/>
      <c r="J28" s="34"/>
      <c r="K28" s="27">
        <f t="shared" si="1"/>
        <v>0</v>
      </c>
      <c r="L28" s="27"/>
      <c r="M28" s="27"/>
      <c r="N28" s="27"/>
      <c r="O28" s="27"/>
      <c r="P28" s="27"/>
      <c r="Q28" s="27"/>
    </row>
    <row r="29" spans="1:17" ht="13.5" customHeight="1">
      <c r="A29" s="43" t="s">
        <v>66</v>
      </c>
      <c r="B29" s="41" t="s">
        <v>67</v>
      </c>
      <c r="C29" s="30" t="s">
        <v>22</v>
      </c>
      <c r="D29" s="31" t="s">
        <v>68</v>
      </c>
      <c r="E29" s="33" t="str">
        <f>"'[1]регулир 01-07-12'!e37"</f>
        <v>'[1]регулир 01-07-12'!e37</v>
      </c>
      <c r="F29" s="33" t="str">
        <f>"'[1]регулир 01-07-12'!f37"</f>
        <v>'[1]регулир 01-07-12'!f37</v>
      </c>
      <c r="G29" s="33"/>
      <c r="H29" s="33"/>
      <c r="I29" s="33"/>
      <c r="J29" s="33"/>
      <c r="K29" s="38">
        <f t="shared" si="1"/>
        <v>0</v>
      </c>
      <c r="L29" s="38"/>
      <c r="M29" s="38"/>
      <c r="N29" s="38"/>
      <c r="O29" s="38"/>
      <c r="P29" s="38"/>
      <c r="Q29" s="38"/>
    </row>
    <row r="30" spans="1:17" ht="12.75" customHeight="1">
      <c r="A30" s="43" t="s">
        <v>69</v>
      </c>
      <c r="B30" s="41" t="s">
        <v>70</v>
      </c>
      <c r="C30" s="30" t="s">
        <v>22</v>
      </c>
      <c r="D30" s="31" t="s">
        <v>70</v>
      </c>
      <c r="E30" s="40" t="str">
        <f>"'[1]регулир 01-07-12'!e39"</f>
        <v>'[1]регулир 01-07-12'!e39</v>
      </c>
      <c r="F30" s="40" t="str">
        <f>"'[1]регулир 01-07-12'!f39"</f>
        <v>'[1]регулир 01-07-12'!f39</v>
      </c>
      <c r="G30" s="40">
        <f>G32+G33+G31</f>
        <v>224.554</v>
      </c>
      <c r="H30" s="40">
        <f>H32+H33+H31</f>
        <v>235.05</v>
      </c>
      <c r="I30" s="40">
        <f>I32+I33+I31</f>
        <v>246.09300000000002</v>
      </c>
      <c r="J30" s="40">
        <f aca="true" t="shared" si="5" ref="J30:Q30">J32+J33+J31</f>
        <v>255.5</v>
      </c>
      <c r="K30" s="40">
        <f t="shared" si="5"/>
        <v>9.407000000000002</v>
      </c>
      <c r="L30" s="40">
        <f t="shared" si="5"/>
        <v>0</v>
      </c>
      <c r="M30" s="40">
        <f t="shared" si="5"/>
        <v>0</v>
      </c>
      <c r="N30" s="40">
        <f t="shared" si="5"/>
        <v>0</v>
      </c>
      <c r="O30" s="40">
        <f t="shared" si="5"/>
        <v>269.226</v>
      </c>
      <c r="P30" s="40">
        <f t="shared" si="5"/>
        <v>281.49</v>
      </c>
      <c r="Q30" s="40">
        <f t="shared" si="5"/>
        <v>294.63</v>
      </c>
    </row>
    <row r="31" spans="1:17" ht="13.5" customHeight="1">
      <c r="A31" s="43" t="s">
        <v>71</v>
      </c>
      <c r="B31" s="41" t="s">
        <v>72</v>
      </c>
      <c r="C31" s="30" t="s">
        <v>22</v>
      </c>
      <c r="D31" s="31" t="s">
        <v>72</v>
      </c>
      <c r="E31" s="33" t="str">
        <f>"'[1]регулир 01-07-12'!e40"</f>
        <v>'[1]регулир 01-07-12'!e40</v>
      </c>
      <c r="F31" s="33" t="str">
        <f>"'[1]регулир 01-07-12'!f40"</f>
        <v>'[1]регулир 01-07-12'!f40</v>
      </c>
      <c r="G31" s="33">
        <v>107.787</v>
      </c>
      <c r="H31" s="33">
        <v>112.8</v>
      </c>
      <c r="I31" s="33">
        <v>118.1</v>
      </c>
      <c r="J31" s="34">
        <v>123</v>
      </c>
      <c r="K31" s="27">
        <f t="shared" si="1"/>
        <v>4.900000000000006</v>
      </c>
      <c r="L31" s="27"/>
      <c r="M31" s="27"/>
      <c r="N31" s="27"/>
      <c r="O31" s="27">
        <v>129.5</v>
      </c>
      <c r="P31" s="27">
        <v>135.55</v>
      </c>
      <c r="Q31" s="27">
        <v>141.9</v>
      </c>
    </row>
    <row r="32" spans="1:17" ht="13.5" customHeight="1">
      <c r="A32" s="43" t="s">
        <v>73</v>
      </c>
      <c r="B32" s="41" t="s">
        <v>74</v>
      </c>
      <c r="C32" s="30" t="s">
        <v>22</v>
      </c>
      <c r="D32" s="31" t="s">
        <v>75</v>
      </c>
      <c r="E32" s="33" t="str">
        <f>"'[1]регулир 01-07-12'!e41"</f>
        <v>'[1]регулир 01-07-12'!e41</v>
      </c>
      <c r="F32" s="33" t="str">
        <f>"'[1]регулир 01-07-12'!f41"</f>
        <v>'[1]регулир 01-07-12'!f41</v>
      </c>
      <c r="G32" s="33">
        <v>103.3</v>
      </c>
      <c r="H32" s="33">
        <v>108.15</v>
      </c>
      <c r="I32" s="33">
        <v>113.233</v>
      </c>
      <c r="J32" s="35">
        <v>118</v>
      </c>
      <c r="K32" s="38">
        <f t="shared" si="1"/>
        <v>4.766999999999996</v>
      </c>
      <c r="L32" s="38"/>
      <c r="M32" s="38"/>
      <c r="N32" s="38"/>
      <c r="O32" s="38">
        <v>123.546</v>
      </c>
      <c r="P32" s="38">
        <v>129</v>
      </c>
      <c r="Q32" s="38">
        <v>135</v>
      </c>
    </row>
    <row r="33" spans="1:17" ht="12.75" customHeight="1">
      <c r="A33" s="43" t="s">
        <v>76</v>
      </c>
      <c r="B33" s="41" t="s">
        <v>77</v>
      </c>
      <c r="C33" s="30" t="s">
        <v>22</v>
      </c>
      <c r="D33" s="31" t="s">
        <v>78</v>
      </c>
      <c r="E33" s="33" t="str">
        <f>"'[1]регулир 01-07-12'!e42"</f>
        <v>'[1]регулир 01-07-12'!e42</v>
      </c>
      <c r="F33" s="33" t="str">
        <f>"'[1]регулир 01-07-12'!f42"</f>
        <v>'[1]регулир 01-07-12'!f42</v>
      </c>
      <c r="G33" s="33">
        <v>13.467</v>
      </c>
      <c r="H33" s="33">
        <v>14.1</v>
      </c>
      <c r="I33" s="33">
        <v>14.76</v>
      </c>
      <c r="J33" s="37">
        <v>14.5</v>
      </c>
      <c r="K33" s="38">
        <f t="shared" si="1"/>
        <v>-0.2599999999999998</v>
      </c>
      <c r="L33" s="38"/>
      <c r="M33" s="38"/>
      <c r="N33" s="38"/>
      <c r="O33" s="38">
        <v>16.18</v>
      </c>
      <c r="P33" s="38">
        <v>16.94</v>
      </c>
      <c r="Q33" s="38">
        <v>17.73</v>
      </c>
    </row>
    <row r="34" spans="1:17" ht="13.5" customHeight="1">
      <c r="A34" s="43" t="s">
        <v>79</v>
      </c>
      <c r="B34" s="41" t="s">
        <v>80</v>
      </c>
      <c r="C34" s="30" t="s">
        <v>22</v>
      </c>
      <c r="D34" s="31" t="s">
        <v>80</v>
      </c>
      <c r="E34" s="33" t="str">
        <f>"'[1]регулир 01-07-12'!e43"</f>
        <v>'[1]регулир 01-07-12'!e43</v>
      </c>
      <c r="F34" s="33" t="str">
        <f>"'[1]регулир 01-07-12'!f43"</f>
        <v>'[1]регулир 01-07-12'!f43</v>
      </c>
      <c r="G34" s="33">
        <f>7552.33388+116.27</f>
        <v>7668.603880000001</v>
      </c>
      <c r="H34" s="33">
        <v>9913.23037</v>
      </c>
      <c r="I34" s="33">
        <v>10379.15</v>
      </c>
      <c r="J34" s="37">
        <v>10866.67</v>
      </c>
      <c r="K34" s="38">
        <f t="shared" si="1"/>
        <v>487.52000000000044</v>
      </c>
      <c r="L34" s="38">
        <f t="shared" si="2"/>
        <v>1.0469710910816397</v>
      </c>
      <c r="M34" s="38"/>
      <c r="N34" s="38"/>
      <c r="O34" s="38">
        <v>13377.717</v>
      </c>
      <c r="P34" s="38">
        <v>14006.47</v>
      </c>
      <c r="Q34" s="38">
        <v>14664.77</v>
      </c>
    </row>
    <row r="35" spans="1:17" ht="12.75" customHeight="1">
      <c r="A35" s="43" t="s">
        <v>81</v>
      </c>
      <c r="B35" s="41" t="s">
        <v>82</v>
      </c>
      <c r="C35" s="30" t="s">
        <v>22</v>
      </c>
      <c r="D35" s="31" t="s">
        <v>82</v>
      </c>
      <c r="E35" s="33" t="str">
        <f>"'[1]регулир 01-07-12'!e44"</f>
        <v>'[1]регулир 01-07-12'!e44</v>
      </c>
      <c r="F35" s="33" t="str">
        <f>"'[1]регулир 01-07-12'!f44"</f>
        <v>'[1]регулир 01-07-12'!f44</v>
      </c>
      <c r="G35" s="33">
        <v>734.671</v>
      </c>
      <c r="H35" s="33">
        <v>769.2</v>
      </c>
      <c r="I35" s="33">
        <v>805.352</v>
      </c>
      <c r="J35" s="37">
        <v>843.2</v>
      </c>
      <c r="K35" s="38">
        <f t="shared" si="1"/>
        <v>37.84800000000007</v>
      </c>
      <c r="L35" s="38">
        <f t="shared" si="2"/>
        <v>1.0469955994397482</v>
      </c>
      <c r="M35" s="38"/>
      <c r="N35" s="38"/>
      <c r="O35" s="38">
        <v>882.83</v>
      </c>
      <c r="P35" s="38">
        <v>924.325</v>
      </c>
      <c r="Q35" s="38">
        <v>967.768</v>
      </c>
    </row>
    <row r="36" spans="1:17" ht="13.5" customHeight="1">
      <c r="A36" s="43" t="s">
        <v>83</v>
      </c>
      <c r="B36" s="41" t="s">
        <v>84</v>
      </c>
      <c r="C36" s="30" t="s">
        <v>22</v>
      </c>
      <c r="D36" s="31" t="s">
        <v>85</v>
      </c>
      <c r="E36" s="33" t="str">
        <f>"'[1]регулир 01-07-12'!e45"</f>
        <v>'[1]регулир 01-07-12'!e45</v>
      </c>
      <c r="F36" s="33" t="str">
        <f>"'[1]регулир 01-07-12'!f45"</f>
        <v>'[1]регулир 01-07-12'!f45</v>
      </c>
      <c r="G36" s="33"/>
      <c r="H36" s="33"/>
      <c r="I36" s="33"/>
      <c r="J36" s="37"/>
      <c r="K36" s="38">
        <f t="shared" si="1"/>
        <v>0</v>
      </c>
      <c r="L36" s="38" t="e">
        <f t="shared" si="2"/>
        <v>#DIV/0!</v>
      </c>
      <c r="M36" s="38"/>
      <c r="N36" s="38"/>
      <c r="O36" s="38"/>
      <c r="P36" s="38"/>
      <c r="Q36" s="38"/>
    </row>
    <row r="37" spans="1:17" ht="15.75" customHeight="1">
      <c r="A37" s="43"/>
      <c r="B37" s="41" t="s">
        <v>86</v>
      </c>
      <c r="C37" s="30" t="s">
        <v>22</v>
      </c>
      <c r="D37" s="31"/>
      <c r="E37" s="33"/>
      <c r="F37" s="33"/>
      <c r="G37" s="33"/>
      <c r="H37" s="33"/>
      <c r="I37" s="33"/>
      <c r="J37" s="34"/>
      <c r="K37" s="38">
        <f t="shared" si="1"/>
        <v>0</v>
      </c>
      <c r="L37" s="38"/>
      <c r="M37" s="38"/>
      <c r="N37" s="38"/>
      <c r="O37" s="38"/>
      <c r="P37" s="38"/>
      <c r="Q37" s="38"/>
    </row>
    <row r="38" spans="1:17" ht="12.75" customHeight="1">
      <c r="A38" s="43" t="s">
        <v>87</v>
      </c>
      <c r="B38" s="41" t="s">
        <v>88</v>
      </c>
      <c r="C38" s="30" t="s">
        <v>22</v>
      </c>
      <c r="D38" s="31" t="s">
        <v>89</v>
      </c>
      <c r="E38" s="33" t="str">
        <f>"'[1]регулир 01-07-12'!e48"</f>
        <v>'[1]регулир 01-07-12'!e48</v>
      </c>
      <c r="F38" s="33" t="str">
        <f>"'[1]регулир 01-07-12'!f48"</f>
        <v>'[1]регулир 01-07-12'!f48</v>
      </c>
      <c r="G38" s="33">
        <v>2662.48976</v>
      </c>
      <c r="H38" s="33">
        <v>2486.75</v>
      </c>
      <c r="I38" s="33">
        <v>2486.75</v>
      </c>
      <c r="J38" s="33">
        <v>2486.75</v>
      </c>
      <c r="K38" s="33">
        <v>2486.75</v>
      </c>
      <c r="L38" s="33">
        <v>2486.75</v>
      </c>
      <c r="M38" s="33">
        <v>2486.75</v>
      </c>
      <c r="N38" s="33">
        <v>2486.75</v>
      </c>
      <c r="O38" s="33">
        <v>2486.75</v>
      </c>
      <c r="P38" s="33">
        <v>2486.75</v>
      </c>
      <c r="Q38" s="33">
        <v>2486.75</v>
      </c>
    </row>
    <row r="39" spans="1:17" ht="13.5" customHeight="1">
      <c r="A39" s="43" t="s">
        <v>90</v>
      </c>
      <c r="B39" s="44" t="s">
        <v>91</v>
      </c>
      <c r="C39" s="30" t="s">
        <v>22</v>
      </c>
      <c r="D39" s="31" t="s">
        <v>91</v>
      </c>
      <c r="E39" s="33" t="str">
        <f>"'[1]регулир 01-07-12'!e49"</f>
        <v>'[1]регулир 01-07-12'!e49</v>
      </c>
      <c r="F39" s="33" t="str">
        <f>"'[1]регулир 01-07-12'!f49"</f>
        <v>'[1]регулир 01-07-12'!f49</v>
      </c>
      <c r="G39" s="33"/>
      <c r="H39" s="33"/>
      <c r="I39" s="33"/>
      <c r="J39" s="34"/>
      <c r="K39" s="27">
        <f t="shared" si="1"/>
        <v>0</v>
      </c>
      <c r="L39" s="27"/>
      <c r="M39" s="27"/>
      <c r="N39" s="27"/>
      <c r="O39" s="27"/>
      <c r="P39" s="27"/>
      <c r="Q39" s="27"/>
    </row>
    <row r="40" spans="1:17" ht="38.25" customHeight="1">
      <c r="A40" s="45" t="s">
        <v>92</v>
      </c>
      <c r="B40" s="46" t="s">
        <v>93</v>
      </c>
      <c r="C40" s="47" t="s">
        <v>22</v>
      </c>
      <c r="D40" s="48"/>
      <c r="E40" s="49" t="str">
        <f>"'[1]регулир 01-07-12'!e52"</f>
        <v>'[1]регулир 01-07-12'!e52</v>
      </c>
      <c r="F40" s="50" t="str">
        <f>"'[1]регулир 01-07-12'!f52"</f>
        <v>'[1]регулир 01-07-12'!f52</v>
      </c>
      <c r="G40" s="50">
        <f>G10+G27</f>
        <v>23759.61192</v>
      </c>
      <c r="H40" s="50">
        <f>H10+H27</f>
        <v>70243.86089000001</v>
      </c>
      <c r="I40" s="50">
        <f>I10+I27</f>
        <v>73427.775</v>
      </c>
      <c r="J40" s="50">
        <f>J10+J27</f>
        <v>76758.23371999999</v>
      </c>
      <c r="K40" s="27">
        <f t="shared" si="1"/>
        <v>3330.458719999995</v>
      </c>
      <c r="L40" s="27">
        <f t="shared" si="2"/>
        <v>1.0453569336671307</v>
      </c>
      <c r="M40" s="51"/>
      <c r="N40" s="52"/>
      <c r="O40" s="49">
        <f>O10+O27</f>
        <v>82250.674</v>
      </c>
      <c r="P40" s="50">
        <f>P10+P27</f>
        <v>85268.37100000001</v>
      </c>
      <c r="Q40" s="50">
        <f>Q10+Q27</f>
        <v>89158.18299999999</v>
      </c>
    </row>
    <row r="41" spans="1:17" ht="30" customHeight="1">
      <c r="A41" s="53"/>
      <c r="B41" s="54" t="s">
        <v>94</v>
      </c>
      <c r="C41" s="30" t="s">
        <v>95</v>
      </c>
      <c r="D41" s="55"/>
      <c r="E41" s="56" t="str">
        <f>"'[1]регулир 01-07-12'!e53"</f>
        <v>'[1]регулир 01-07-12'!e53</v>
      </c>
      <c r="F41" s="56" t="str">
        <f>"'[1]регулир 01-07-12'!f53"</f>
        <v>'[1]регулир 01-07-12'!f53</v>
      </c>
      <c r="G41" s="57">
        <f>ROUND(G57/G56*100,2)</f>
        <v>5.41</v>
      </c>
      <c r="H41" s="56">
        <f>ROUND(H57/H56*100,2)</f>
        <v>5.41</v>
      </c>
      <c r="I41" s="56">
        <f>ROUND(I57/I56*100,2)</f>
        <v>5.41</v>
      </c>
      <c r="J41" s="56">
        <f>ROUND(J57/J56*100,2)</f>
        <v>5.41</v>
      </c>
      <c r="K41" s="27"/>
      <c r="L41" s="27">
        <f t="shared" si="2"/>
        <v>1</v>
      </c>
      <c r="M41" s="27"/>
      <c r="N41" s="27"/>
      <c r="O41" s="56">
        <f>ROUND(O57/O56*100,2)</f>
        <v>5.41</v>
      </c>
      <c r="P41" s="56">
        <f>ROUND(P57/P56*100,2)</f>
        <v>5.41</v>
      </c>
      <c r="Q41" s="56">
        <f>ROUND(Q57/Q56*100,2)</f>
        <v>5.41</v>
      </c>
    </row>
    <row r="42" spans="1:17" ht="39" customHeight="1">
      <c r="A42" s="45" t="s">
        <v>96</v>
      </c>
      <c r="B42" s="58" t="s">
        <v>97</v>
      </c>
      <c r="C42" s="25" t="s">
        <v>22</v>
      </c>
      <c r="D42" s="55"/>
      <c r="E42" s="59" t="str">
        <f>"'[1]регулир 01-07-12'!e54"</f>
        <v>'[1]регулир 01-07-12'!e54</v>
      </c>
      <c r="F42" s="59" t="str">
        <f>"'[1]регулир 01-07-12'!f54"</f>
        <v>'[1]регулир 01-07-12'!f54</v>
      </c>
      <c r="G42" s="59">
        <v>1235.5</v>
      </c>
      <c r="H42" s="59">
        <f>H40*H41/100</f>
        <v>3800.192874149001</v>
      </c>
      <c r="I42" s="59">
        <f>I40*I41/100</f>
        <v>3972.4426275</v>
      </c>
      <c r="J42" s="59">
        <f>J40*J41/100</f>
        <v>4152.620444251999</v>
      </c>
      <c r="K42" s="38">
        <f t="shared" si="1"/>
        <v>180.17781675199922</v>
      </c>
      <c r="L42" s="38">
        <f t="shared" si="2"/>
        <v>1.0453569336671305</v>
      </c>
      <c r="M42" s="38"/>
      <c r="N42" s="38"/>
      <c r="O42" s="59">
        <f>O40*O41/100</f>
        <v>4449.7614634</v>
      </c>
      <c r="P42" s="59">
        <f>P40*P41/100</f>
        <v>4613.018871100001</v>
      </c>
      <c r="Q42" s="59">
        <f>Q40*Q41/100</f>
        <v>4823.4577002999995</v>
      </c>
    </row>
    <row r="43" spans="1:18" ht="25.5" customHeight="1">
      <c r="A43" s="45" t="s">
        <v>98</v>
      </c>
      <c r="B43" s="60" t="s">
        <v>99</v>
      </c>
      <c r="C43" s="30" t="s">
        <v>22</v>
      </c>
      <c r="D43" s="55"/>
      <c r="E43" s="61"/>
      <c r="F43" s="61"/>
      <c r="G43" s="61"/>
      <c r="H43" s="61"/>
      <c r="I43" s="61"/>
      <c r="J43" s="61"/>
      <c r="K43" s="38">
        <f t="shared" si="1"/>
        <v>0</v>
      </c>
      <c r="L43" s="38"/>
      <c r="M43" s="38"/>
      <c r="N43" s="38"/>
      <c r="O43" s="61"/>
      <c r="P43" s="61"/>
      <c r="Q43" s="61"/>
      <c r="R43" s="62"/>
    </row>
    <row r="44" spans="1:17" ht="39" customHeight="1">
      <c r="A44" s="45" t="s">
        <v>100</v>
      </c>
      <c r="B44" s="63" t="s">
        <v>101</v>
      </c>
      <c r="C44" s="30" t="s">
        <v>22</v>
      </c>
      <c r="D44" s="55"/>
      <c r="E44" s="61"/>
      <c r="F44" s="61"/>
      <c r="G44" s="61"/>
      <c r="H44" s="61"/>
      <c r="I44" s="61"/>
      <c r="J44" s="61"/>
      <c r="K44" s="64"/>
      <c r="L44" s="64"/>
      <c r="M44" s="64"/>
      <c r="N44" s="64"/>
      <c r="O44" s="61"/>
      <c r="P44" s="61"/>
      <c r="Q44" s="61"/>
    </row>
    <row r="45" spans="1:17" ht="30" customHeight="1">
      <c r="A45" s="45" t="s">
        <v>102</v>
      </c>
      <c r="B45" s="58" t="s">
        <v>103</v>
      </c>
      <c r="C45" s="25" t="s">
        <v>22</v>
      </c>
      <c r="D45" s="55"/>
      <c r="E45" s="59" t="e">
        <f>E42+E43+E44</f>
        <v>#VALUE!</v>
      </c>
      <c r="F45" s="59" t="e">
        <f>F42+F43+F44</f>
        <v>#VALUE!</v>
      </c>
      <c r="G45" s="59">
        <f>G42+G43+G44</f>
        <v>1235.5</v>
      </c>
      <c r="H45" s="59">
        <f>H42+H43+H44</f>
        <v>3800.192874149001</v>
      </c>
      <c r="I45" s="59">
        <f>I42+I43+I44</f>
        <v>3972.4426275</v>
      </c>
      <c r="J45" s="59">
        <f>J42+J43+J44</f>
        <v>4152.620444251999</v>
      </c>
      <c r="K45" s="27">
        <f t="shared" si="1"/>
        <v>180.17781675199922</v>
      </c>
      <c r="L45" s="27">
        <f t="shared" si="2"/>
        <v>1.0453569336671305</v>
      </c>
      <c r="M45" s="27"/>
      <c r="N45" s="27"/>
      <c r="O45" s="59">
        <f>O42+O43+O44</f>
        <v>4449.7614634</v>
      </c>
      <c r="P45" s="59">
        <f>P42+P43+P44</f>
        <v>4613.018871100001</v>
      </c>
      <c r="Q45" s="59">
        <f>Q42+Q43+Q44</f>
        <v>4823.4577002999995</v>
      </c>
    </row>
    <row r="46" spans="1:17" ht="15.75" customHeight="1">
      <c r="A46" s="45" t="s">
        <v>104</v>
      </c>
      <c r="B46" s="65" t="s">
        <v>105</v>
      </c>
      <c r="C46" s="26" t="s">
        <v>22</v>
      </c>
      <c r="D46" s="66"/>
      <c r="E46" s="67" t="str">
        <f>"'[1]регулир 01-07-12'!e55"</f>
        <v>'[1]регулир 01-07-12'!e55</v>
      </c>
      <c r="F46" s="67" t="str">
        <f>"'[1]регулир 01-07-12'!f55"</f>
        <v>'[1]регулир 01-07-12'!f55</v>
      </c>
      <c r="G46" s="67"/>
      <c r="H46" s="68"/>
      <c r="I46" s="68"/>
      <c r="J46" s="68"/>
      <c r="K46" s="64">
        <f t="shared" si="1"/>
        <v>0</v>
      </c>
      <c r="L46" s="64" t="e">
        <f t="shared" si="2"/>
        <v>#DIV/0!</v>
      </c>
      <c r="M46" s="69"/>
      <c r="N46" s="69"/>
      <c r="O46" s="68"/>
      <c r="P46" s="68"/>
      <c r="Q46" s="68"/>
    </row>
    <row r="47" spans="1:17" ht="15.75" customHeight="1">
      <c r="A47" s="45" t="s">
        <v>106</v>
      </c>
      <c r="B47" s="70" t="s">
        <v>107</v>
      </c>
      <c r="C47" s="25" t="s">
        <v>22</v>
      </c>
      <c r="D47" s="66"/>
      <c r="E47" s="71" t="e">
        <f aca="true" t="shared" si="6" ref="E47:J47">E45+E46</f>
        <v>#VALUE!</v>
      </c>
      <c r="F47" s="71" t="e">
        <f t="shared" si="6"/>
        <v>#VALUE!</v>
      </c>
      <c r="G47" s="72">
        <f t="shared" si="6"/>
        <v>1235.5</v>
      </c>
      <c r="H47" s="72">
        <f t="shared" si="6"/>
        <v>3800.192874149001</v>
      </c>
      <c r="I47" s="72">
        <f t="shared" si="6"/>
        <v>3972.4426275</v>
      </c>
      <c r="J47" s="72">
        <f t="shared" si="6"/>
        <v>4152.620444251999</v>
      </c>
      <c r="K47" s="73">
        <f t="shared" si="1"/>
        <v>180.17781675199922</v>
      </c>
      <c r="L47" s="73">
        <f t="shared" si="2"/>
        <v>1.0453569336671305</v>
      </c>
      <c r="M47" s="69"/>
      <c r="N47" s="69"/>
      <c r="O47" s="72">
        <f>O45+O46</f>
        <v>4449.7614634</v>
      </c>
      <c r="P47" s="72">
        <f>P45+P46</f>
        <v>4613.018871100001</v>
      </c>
      <c r="Q47" s="72">
        <f>Q45+Q46</f>
        <v>4823.4577002999995</v>
      </c>
    </row>
    <row r="48" spans="1:17" ht="15.75" customHeight="1">
      <c r="A48" s="45"/>
      <c r="B48" s="20" t="s">
        <v>108</v>
      </c>
      <c r="C48" s="25" t="s">
        <v>95</v>
      </c>
      <c r="D48" s="66"/>
      <c r="E48" s="74" t="e">
        <f>ROUND(((E26+E36+E39)*E41/100)/(E47-(E26+E36+E39)*E41/100)*100,2)</f>
        <v>#VALUE!</v>
      </c>
      <c r="F48" s="74" t="e">
        <f>ROUND(((F26+F36+F39)*F41/100)/(F47-(F26+F36+F39)*F41/100)*100,2)</f>
        <v>#VALUE!</v>
      </c>
      <c r="G48" s="75"/>
      <c r="H48" s="75"/>
      <c r="I48" s="75"/>
      <c r="J48" s="75"/>
      <c r="K48" s="73">
        <f t="shared" si="1"/>
        <v>0</v>
      </c>
      <c r="L48" s="73" t="e">
        <f t="shared" si="2"/>
        <v>#DIV/0!</v>
      </c>
      <c r="M48" s="69"/>
      <c r="N48" s="69"/>
      <c r="O48" s="75"/>
      <c r="P48" s="75"/>
      <c r="Q48" s="75"/>
    </row>
    <row r="49" spans="1:17" ht="15" customHeight="1">
      <c r="A49" s="135" t="s">
        <v>109</v>
      </c>
      <c r="B49" s="70" t="s">
        <v>110</v>
      </c>
      <c r="C49" s="76" t="s">
        <v>111</v>
      </c>
      <c r="D49" s="66"/>
      <c r="E49" s="71" t="str">
        <f>"'[1]регулир 01-07-12'!e56"</f>
        <v>'[1]регулир 01-07-12'!e56</v>
      </c>
      <c r="F49" s="71" t="str">
        <f>"'[1]регулир 01-07-12'!f56"</f>
        <v>'[1]регулир 01-07-12'!f56</v>
      </c>
      <c r="G49" s="72">
        <v>464.94</v>
      </c>
      <c r="H49" s="72">
        <v>511.434</v>
      </c>
      <c r="I49" s="72">
        <v>562.573</v>
      </c>
      <c r="J49" s="72">
        <v>618.83</v>
      </c>
      <c r="K49" s="73">
        <f t="shared" si="1"/>
        <v>56.25700000000006</v>
      </c>
      <c r="L49" s="73">
        <f t="shared" si="2"/>
        <v>1.0999994667358726</v>
      </c>
      <c r="M49" s="69"/>
      <c r="N49" s="69"/>
      <c r="O49" s="72">
        <v>680.71</v>
      </c>
      <c r="P49" s="72">
        <v>748.78</v>
      </c>
      <c r="Q49" s="72">
        <v>823.66</v>
      </c>
    </row>
    <row r="50" spans="1:17" ht="15" customHeight="1">
      <c r="A50" s="135"/>
      <c r="B50" s="70" t="s">
        <v>110</v>
      </c>
      <c r="C50" s="76" t="s">
        <v>112</v>
      </c>
      <c r="D50" s="66"/>
      <c r="E50" s="77" t="e">
        <f>ROUND(E45/E55/6*1000,2)</f>
        <v>#VALUE!</v>
      </c>
      <c r="F50" s="77" t="e">
        <f>ROUND(F45/F55/6*1000,2)</f>
        <v>#VALUE!</v>
      </c>
      <c r="G50" s="78"/>
      <c r="H50" s="79">
        <f>H45/H55/12*1000</f>
        <v>86055.0922588089</v>
      </c>
      <c r="I50" s="79">
        <f>I45/I55/12*1000</f>
        <v>89955.6754415761</v>
      </c>
      <c r="J50" s="79">
        <f>J45/J55/12*1000</f>
        <v>94035.78904556157</v>
      </c>
      <c r="K50" s="73"/>
      <c r="L50" s="73"/>
      <c r="M50" s="69"/>
      <c r="N50" s="69"/>
      <c r="O50" s="72">
        <f>O45/O55/12*1000</f>
        <v>100764.52589221015</v>
      </c>
      <c r="P50" s="72">
        <f>P45/P55/12*1000</f>
        <v>104461.47805932973</v>
      </c>
      <c r="Q50" s="72">
        <f>Q45/Q55/12*1000</f>
        <v>109226.85009737317</v>
      </c>
    </row>
    <row r="51" spans="1:17" ht="15" customHeight="1">
      <c r="A51" s="45" t="s">
        <v>113</v>
      </c>
      <c r="B51" s="70" t="s">
        <v>114</v>
      </c>
      <c r="C51" s="80" t="s">
        <v>115</v>
      </c>
      <c r="D51" s="66"/>
      <c r="E51" s="77" t="str">
        <f>"'[1]регулир 01-07-12'!e57"</f>
        <v>'[1]регулир 01-07-12'!e57</v>
      </c>
      <c r="F51" s="77" t="str">
        <f>"'[1]регулир 01-07-12'!f57"</f>
        <v>'[1]регулир 01-07-12'!f57</v>
      </c>
      <c r="G51" s="79">
        <f>G46/G60*1000</f>
        <v>0</v>
      </c>
      <c r="H51" s="79">
        <f>H46/H60*1000</f>
        <v>0</v>
      </c>
      <c r="I51" s="79">
        <f>I46/I60*1000</f>
        <v>0</v>
      </c>
      <c r="J51" s="79">
        <f>J46/J60*1000</f>
        <v>0</v>
      </c>
      <c r="K51" s="73">
        <f t="shared" si="1"/>
        <v>0</v>
      </c>
      <c r="L51" s="73" t="e">
        <f t="shared" si="2"/>
        <v>#DIV/0!</v>
      </c>
      <c r="M51" s="69"/>
      <c r="N51" s="69"/>
      <c r="O51" s="79">
        <f>O46/O60*1000</f>
        <v>0</v>
      </c>
      <c r="P51" s="79">
        <f>P46/P60*1000</f>
        <v>0</v>
      </c>
      <c r="Q51" s="79">
        <f>Q46/Q60*1000</f>
        <v>0</v>
      </c>
    </row>
    <row r="52" spans="1:17" ht="25.5" customHeight="1">
      <c r="A52" s="45" t="s">
        <v>116</v>
      </c>
      <c r="B52" s="81" t="s">
        <v>117</v>
      </c>
      <c r="C52" s="25" t="s">
        <v>115</v>
      </c>
      <c r="D52" s="55"/>
      <c r="E52" s="59" t="str">
        <f>"'[1]регулир 01-07-12'!e58"</f>
        <v>'[1]регулир 01-07-12'!e58</v>
      </c>
      <c r="F52" s="82" t="str">
        <f>"'[1]регулир 01-07-12'!f58"</f>
        <v>'[1]регулир 01-07-12'!f58</v>
      </c>
      <c r="G52" s="61">
        <f>G47/G60*1000</f>
        <v>49.71030819988734</v>
      </c>
      <c r="H52" s="61">
        <f>H47/H60*1000</f>
        <v>152.897824943652</v>
      </c>
      <c r="I52" s="61">
        <f>I47/I60*1000</f>
        <v>159.82816072045017</v>
      </c>
      <c r="J52" s="61">
        <f>J47/J60*1000</f>
        <v>167.0774760043871</v>
      </c>
      <c r="K52" s="64">
        <f t="shared" si="1"/>
        <v>7.249315283936937</v>
      </c>
      <c r="L52" s="64">
        <f t="shared" si="2"/>
        <v>1.0453569336671305</v>
      </c>
      <c r="M52" s="64"/>
      <c r="N52" s="64"/>
      <c r="O52" s="61">
        <f>O47/O60*1000</f>
        <v>179.03271539192565</v>
      </c>
      <c r="P52" s="61">
        <f>P47/P60*1000</f>
        <v>185.60125108733004</v>
      </c>
      <c r="Q52" s="61">
        <f>Q47/Q60*1000</f>
        <v>194.06809483287907</v>
      </c>
    </row>
    <row r="53" spans="1:17" ht="15.75" customHeight="1">
      <c r="A53" s="136" t="s">
        <v>118</v>
      </c>
      <c r="B53" s="136"/>
      <c r="C53" s="17"/>
      <c r="D53" s="66"/>
      <c r="E53" s="83"/>
      <c r="F53" s="35"/>
      <c r="G53" s="35"/>
      <c r="H53" s="64"/>
      <c r="I53" s="64"/>
      <c r="J53" s="64"/>
      <c r="K53" s="64"/>
      <c r="L53" s="64"/>
      <c r="M53" s="64"/>
      <c r="N53" s="64"/>
      <c r="O53" s="64"/>
      <c r="P53" s="64"/>
      <c r="Q53" s="64"/>
    </row>
    <row r="54" spans="1:17" ht="15" customHeight="1">
      <c r="A54" s="137" t="s">
        <v>119</v>
      </c>
      <c r="B54" s="137"/>
      <c r="C54" s="18" t="s">
        <v>120</v>
      </c>
      <c r="D54" s="66"/>
      <c r="E54" s="85" t="str">
        <f>"'[1]регулир 01-07-12'!e60"</f>
        <v>'[1]регулир 01-07-12'!e60</v>
      </c>
      <c r="F54" s="85" t="str">
        <f>"'[1]регулир 01-07-12'!f60"</f>
        <v>'[1]регулир 01-07-12'!f60</v>
      </c>
      <c r="G54" s="85">
        <v>208.9</v>
      </c>
      <c r="H54" s="86">
        <v>208.9</v>
      </c>
      <c r="I54" s="86">
        <v>208.9</v>
      </c>
      <c r="J54" s="86">
        <v>208.9</v>
      </c>
      <c r="K54" s="64">
        <f t="shared" si="1"/>
        <v>0</v>
      </c>
      <c r="L54" s="64">
        <f t="shared" si="2"/>
        <v>1</v>
      </c>
      <c r="M54" s="64"/>
      <c r="N54" s="64"/>
      <c r="O54" s="86">
        <v>208.9</v>
      </c>
      <c r="P54" s="86">
        <v>208.9</v>
      </c>
      <c r="Q54" s="86">
        <v>208.9</v>
      </c>
    </row>
    <row r="55" spans="1:17" ht="15" customHeight="1">
      <c r="A55" s="137" t="s">
        <v>121</v>
      </c>
      <c r="B55" s="137"/>
      <c r="C55" s="18" t="s">
        <v>122</v>
      </c>
      <c r="D55" s="66"/>
      <c r="E55" s="85"/>
      <c r="F55" s="85" t="e">
        <f>F45/"#REF!/6*1000"</f>
        <v>#VALUE!</v>
      </c>
      <c r="G55" s="85">
        <v>3.68</v>
      </c>
      <c r="H55" s="64">
        <v>3.68</v>
      </c>
      <c r="I55" s="64">
        <v>3.68</v>
      </c>
      <c r="J55" s="64">
        <v>3.68</v>
      </c>
      <c r="K55" s="64"/>
      <c r="L55" s="64"/>
      <c r="M55" s="64"/>
      <c r="N55" s="64"/>
      <c r="O55" s="64">
        <v>3.68</v>
      </c>
      <c r="P55" s="64">
        <v>3.68</v>
      </c>
      <c r="Q55" s="64">
        <v>3.68</v>
      </c>
    </row>
    <row r="56" spans="1:17" ht="15.75" customHeight="1">
      <c r="A56" s="84" t="s">
        <v>123</v>
      </c>
      <c r="B56" s="20"/>
      <c r="C56" s="18" t="s">
        <v>124</v>
      </c>
      <c r="D56" s="66"/>
      <c r="E56" s="75" t="str">
        <f>"'[1]регулир 01-07-12'!e61"</f>
        <v>'[1]регулир 01-07-12'!e61</v>
      </c>
      <c r="F56" s="75" t="str">
        <f>"'[1]регулир 01-07-12'!f61"</f>
        <v>'[1]регулир 01-07-12'!f61</v>
      </c>
      <c r="G56" s="75">
        <v>471558</v>
      </c>
      <c r="H56" s="87">
        <v>471558.131</v>
      </c>
      <c r="I56" s="87">
        <v>471558.131</v>
      </c>
      <c r="J56" s="87">
        <v>471558.131</v>
      </c>
      <c r="K56" s="64">
        <f t="shared" si="1"/>
        <v>0</v>
      </c>
      <c r="L56" s="64">
        <f t="shared" si="2"/>
        <v>1</v>
      </c>
      <c r="M56" s="64"/>
      <c r="N56" s="64"/>
      <c r="O56" s="87">
        <v>471558.131</v>
      </c>
      <c r="P56" s="87">
        <v>471558.131</v>
      </c>
      <c r="Q56" s="87">
        <v>471558.131</v>
      </c>
    </row>
    <row r="57" spans="1:17" ht="15.75" customHeight="1">
      <c r="A57" s="84" t="s">
        <v>125</v>
      </c>
      <c r="B57" s="20"/>
      <c r="C57" s="18" t="s">
        <v>124</v>
      </c>
      <c r="D57" s="66"/>
      <c r="E57" s="74" t="e">
        <f>E60+E58</f>
        <v>#VALUE!</v>
      </c>
      <c r="F57" s="74" t="e">
        <f>F60+F58</f>
        <v>#VALUE!</v>
      </c>
      <c r="G57" s="88">
        <v>25491</v>
      </c>
      <c r="H57" s="89">
        <f>H60+H58</f>
        <v>25491.75</v>
      </c>
      <c r="I57" s="89">
        <f>I60+I58</f>
        <v>25491.75</v>
      </c>
      <c r="J57" s="89">
        <f>J60+J58</f>
        <v>25491.75</v>
      </c>
      <c r="K57" s="73">
        <f t="shared" si="1"/>
        <v>0</v>
      </c>
      <c r="L57" s="73">
        <f t="shared" si="2"/>
        <v>1</v>
      </c>
      <c r="M57" s="73"/>
      <c r="N57" s="73"/>
      <c r="O57" s="89">
        <f>O60+O58</f>
        <v>25491.75</v>
      </c>
      <c r="P57" s="89">
        <f>P60+P58</f>
        <v>25491.75</v>
      </c>
      <c r="Q57" s="89">
        <f>Q60+Q58</f>
        <v>25491.75</v>
      </c>
    </row>
    <row r="58" spans="1:17" ht="15.75" customHeight="1">
      <c r="A58" s="84" t="s">
        <v>126</v>
      </c>
      <c r="B58" s="20"/>
      <c r="C58" s="18" t="s">
        <v>124</v>
      </c>
      <c r="D58" s="66"/>
      <c r="E58" s="75" t="str">
        <f>"'[1]регулир 01-07-12'!e63"</f>
        <v>'[1]регулир 01-07-12'!e63</v>
      </c>
      <c r="F58" s="75" t="str">
        <f>"'[1]регулир 01-07-12'!f63"</f>
        <v>'[1]регулир 01-07-12'!f63</v>
      </c>
      <c r="G58" s="75">
        <v>637</v>
      </c>
      <c r="H58" s="90">
        <v>637.29</v>
      </c>
      <c r="I58" s="90">
        <v>637.29</v>
      </c>
      <c r="J58" s="90">
        <v>637.29</v>
      </c>
      <c r="K58" s="73">
        <f t="shared" si="1"/>
        <v>0</v>
      </c>
      <c r="L58" s="73">
        <f t="shared" si="2"/>
        <v>1</v>
      </c>
      <c r="M58" s="73"/>
      <c r="N58" s="73"/>
      <c r="O58" s="90">
        <v>637.29</v>
      </c>
      <c r="P58" s="90">
        <v>637.29</v>
      </c>
      <c r="Q58" s="90">
        <v>637.29</v>
      </c>
    </row>
    <row r="59" spans="1:17" ht="15.75" customHeight="1">
      <c r="A59" s="84" t="s">
        <v>127</v>
      </c>
      <c r="B59" s="20"/>
      <c r="C59" s="18" t="s">
        <v>95</v>
      </c>
      <c r="D59" s="66"/>
      <c r="E59" s="91" t="e">
        <f>E58/E57*100</f>
        <v>#VALUE!</v>
      </c>
      <c r="F59" s="91" t="e">
        <f>F58/F57*100</f>
        <v>#VALUE!</v>
      </c>
      <c r="G59" s="92">
        <f>G58/G57*100</f>
        <v>2.498921187870229</v>
      </c>
      <c r="H59" s="92">
        <v>2.5</v>
      </c>
      <c r="I59" s="92">
        <v>2.5</v>
      </c>
      <c r="J59" s="92">
        <v>2.5</v>
      </c>
      <c r="K59" s="73"/>
      <c r="L59" s="73">
        <f t="shared" si="2"/>
        <v>1</v>
      </c>
      <c r="M59" s="73"/>
      <c r="N59" s="73"/>
      <c r="O59" s="92">
        <v>2.5</v>
      </c>
      <c r="P59" s="92">
        <v>2.5</v>
      </c>
      <c r="Q59" s="92">
        <v>2.5</v>
      </c>
    </row>
    <row r="60" spans="1:17" ht="15.75" customHeight="1">
      <c r="A60" s="137" t="s">
        <v>128</v>
      </c>
      <c r="B60" s="137"/>
      <c r="C60" s="18" t="s">
        <v>124</v>
      </c>
      <c r="D60" s="66"/>
      <c r="E60" s="93" t="str">
        <f>"'[1]регулир 01-07-12'!e65"</f>
        <v>'[1]регулир 01-07-12'!e65</v>
      </c>
      <c r="F60" s="93" t="str">
        <f>"'[1]регулир 01-07-12'!f65"</f>
        <v>'[1]регулир 01-07-12'!f65</v>
      </c>
      <c r="G60" s="93">
        <f>G57-G58</f>
        <v>24854</v>
      </c>
      <c r="H60" s="89">
        <v>24854.46</v>
      </c>
      <c r="I60" s="89">
        <v>24854.46</v>
      </c>
      <c r="J60" s="89">
        <v>24854.46</v>
      </c>
      <c r="K60" s="73">
        <f t="shared" si="1"/>
        <v>0</v>
      </c>
      <c r="L60" s="73">
        <f t="shared" si="2"/>
        <v>1</v>
      </c>
      <c r="M60" s="73"/>
      <c r="N60" s="73"/>
      <c r="O60" s="89">
        <v>24854.46</v>
      </c>
      <c r="P60" s="89">
        <v>24854.46</v>
      </c>
      <c r="Q60" s="89">
        <v>24854.46</v>
      </c>
    </row>
    <row r="61" spans="2:17" ht="15.75" customHeight="1">
      <c r="B61" s="94"/>
      <c r="F61" s="95"/>
      <c r="G61" s="95"/>
      <c r="H61" s="96"/>
      <c r="J61" s="96"/>
      <c r="K61" s="97"/>
      <c r="L61" s="97"/>
      <c r="M61" s="97"/>
      <c r="N61" s="97"/>
      <c r="O61" s="97"/>
      <c r="P61" s="97"/>
      <c r="Q61" s="97"/>
    </row>
    <row r="62" spans="2:17" ht="12.75" customHeight="1">
      <c r="B62" s="94"/>
      <c r="E62" s="62"/>
      <c r="F62" s="62"/>
      <c r="G62" s="62"/>
      <c r="H62" s="62"/>
      <c r="I62" s="98"/>
      <c r="J62" s="99"/>
      <c r="K62" s="99"/>
      <c r="L62" s="99"/>
      <c r="M62" s="99"/>
      <c r="N62" s="99"/>
      <c r="O62" s="99"/>
      <c r="P62" s="99"/>
      <c r="Q62" s="99"/>
    </row>
    <row r="63" spans="2:17" ht="30.75" customHeight="1">
      <c r="B63" s="100"/>
      <c r="C63" s="101"/>
      <c r="D63" s="101"/>
      <c r="E63" s="100"/>
      <c r="F63" s="100"/>
      <c r="G63" s="100"/>
      <c r="H63" s="100"/>
      <c r="I63" s="102"/>
      <c r="J63" s="102"/>
      <c r="K63" s="102"/>
      <c r="L63" s="102"/>
      <c r="M63" s="102"/>
      <c r="N63" s="102"/>
      <c r="O63" s="102"/>
      <c r="P63" s="102"/>
      <c r="Q63" s="102"/>
    </row>
    <row r="64" spans="2:17" ht="12.75" customHeight="1">
      <c r="B64" s="94"/>
      <c r="J64" s="96"/>
      <c r="K64" s="96"/>
      <c r="L64" s="96"/>
      <c r="M64" s="96"/>
      <c r="N64" s="96"/>
      <c r="O64" s="96"/>
      <c r="P64" s="96"/>
      <c r="Q64" s="96"/>
    </row>
    <row r="65" spans="2:17" ht="12.75" customHeight="1">
      <c r="B65" s="94"/>
      <c r="J65" s="103"/>
      <c r="K65" s="103"/>
      <c r="L65" s="103"/>
      <c r="M65" s="103"/>
      <c r="N65" s="103"/>
      <c r="O65" s="103"/>
      <c r="P65" s="103"/>
      <c r="Q65" s="103"/>
    </row>
    <row r="66" ht="12.75" customHeight="1">
      <c r="B66" s="94"/>
    </row>
    <row r="67" ht="12.75" customHeight="1">
      <c r="B67" s="94"/>
    </row>
    <row r="68" s="2" customFormat="1" ht="12.75" customHeight="1">
      <c r="B68" s="94"/>
    </row>
    <row r="69" s="2" customFormat="1" ht="12.75" customHeight="1">
      <c r="B69" s="94"/>
    </row>
    <row r="70" s="2" customFormat="1" ht="12.75" customHeight="1">
      <c r="B70" s="94"/>
    </row>
    <row r="71" s="2" customFormat="1" ht="12.75" customHeight="1">
      <c r="B71" s="94"/>
    </row>
    <row r="72" s="2" customFormat="1" ht="12.75" customHeight="1">
      <c r="B72" s="94"/>
    </row>
    <row r="73" s="2" customFormat="1" ht="12.75" customHeight="1">
      <c r="B73" s="94"/>
    </row>
    <row r="74" s="2" customFormat="1" ht="12.75" customHeight="1">
      <c r="B74" s="94"/>
    </row>
    <row r="75" s="2" customFormat="1" ht="12.75" customHeight="1">
      <c r="B75" s="94"/>
    </row>
    <row r="76" s="2" customFormat="1" ht="12.75" customHeight="1">
      <c r="B76" s="94"/>
    </row>
    <row r="77" s="2" customFormat="1" ht="12.75" customHeight="1">
      <c r="B77" s="94"/>
    </row>
    <row r="78" s="2" customFormat="1" ht="12.75" customHeight="1">
      <c r="B78" s="94"/>
    </row>
    <row r="79" s="2" customFormat="1" ht="12.75" customHeight="1">
      <c r="B79" s="94"/>
    </row>
    <row r="80" s="2" customFormat="1" ht="12.75" customHeight="1">
      <c r="B80" s="94"/>
    </row>
    <row r="81" s="2" customFormat="1" ht="12.75" customHeight="1">
      <c r="B81" s="94"/>
    </row>
    <row r="82" s="2" customFormat="1" ht="12.75" customHeight="1">
      <c r="B82" s="94"/>
    </row>
    <row r="83" s="2" customFormat="1" ht="12.75" customHeight="1">
      <c r="B83" s="94"/>
    </row>
    <row r="84" s="2" customFormat="1" ht="12.75" customHeight="1">
      <c r="B84" s="94"/>
    </row>
    <row r="85" s="2" customFormat="1" ht="12.75" customHeight="1">
      <c r="B85" s="94"/>
    </row>
    <row r="86" s="2" customFormat="1" ht="12.75" customHeight="1">
      <c r="B86" s="94"/>
    </row>
    <row r="87" s="2" customFormat="1" ht="12.75" customHeight="1">
      <c r="B87" s="94"/>
    </row>
    <row r="88" s="2" customFormat="1" ht="12.75" customHeight="1">
      <c r="B88" s="94"/>
    </row>
    <row r="89" s="2" customFormat="1" ht="12.75" customHeight="1">
      <c r="B89" s="94"/>
    </row>
    <row r="90" s="2" customFormat="1" ht="12.75" customHeight="1">
      <c r="B90" s="94"/>
    </row>
    <row r="91" s="2" customFormat="1" ht="12.75" customHeight="1">
      <c r="B91" s="94"/>
    </row>
    <row r="92" s="2" customFormat="1" ht="12.75" customHeight="1">
      <c r="B92" s="94"/>
    </row>
    <row r="93" s="2" customFormat="1" ht="12.75" customHeight="1">
      <c r="B93" s="94"/>
    </row>
    <row r="94" s="2" customFormat="1" ht="12.75" customHeight="1">
      <c r="B94" s="94"/>
    </row>
    <row r="95" s="2" customFormat="1" ht="12.75" customHeight="1">
      <c r="B95" s="94"/>
    </row>
    <row r="96" s="2" customFormat="1" ht="12.75" customHeight="1">
      <c r="B96" s="94"/>
    </row>
    <row r="97" s="2" customFormat="1" ht="12.75" customHeight="1">
      <c r="B97" s="94"/>
    </row>
    <row r="98" s="2" customFormat="1" ht="12.75" customHeight="1">
      <c r="B98" s="94"/>
    </row>
    <row r="99" s="2" customFormat="1" ht="12.75" customHeight="1">
      <c r="B99" s="94"/>
    </row>
    <row r="100" s="2" customFormat="1" ht="12.75" customHeight="1">
      <c r="B100" s="94"/>
    </row>
    <row r="101" s="2" customFormat="1" ht="12.75" customHeight="1">
      <c r="B101" s="94"/>
    </row>
    <row r="102" s="2" customFormat="1" ht="12.75" customHeight="1">
      <c r="B102" s="94"/>
    </row>
    <row r="103" s="2" customFormat="1" ht="12.75" customHeight="1">
      <c r="B103" s="94"/>
    </row>
    <row r="104" s="2" customFormat="1" ht="12.75" customHeight="1">
      <c r="B104" s="94"/>
    </row>
    <row r="105" s="2" customFormat="1" ht="12.75" customHeight="1">
      <c r="B105" s="94"/>
    </row>
    <row r="106" s="2" customFormat="1" ht="12.75" customHeight="1">
      <c r="B106" s="94"/>
    </row>
    <row r="107" s="2" customFormat="1" ht="12.75" customHeight="1">
      <c r="B107" s="94"/>
    </row>
    <row r="108" s="2" customFormat="1" ht="12.75" customHeight="1">
      <c r="B108" s="94"/>
    </row>
    <row r="109" s="2" customFormat="1" ht="12.75" customHeight="1">
      <c r="B109" s="94"/>
    </row>
    <row r="110" s="2" customFormat="1" ht="12.75" customHeight="1">
      <c r="B110" s="94"/>
    </row>
    <row r="111" s="2" customFormat="1" ht="12.75" customHeight="1">
      <c r="B111" s="94"/>
    </row>
    <row r="112" s="2" customFormat="1" ht="12.75" customHeight="1">
      <c r="B112" s="94"/>
    </row>
    <row r="113" s="2" customFormat="1" ht="12.75" customHeight="1">
      <c r="B113" s="94"/>
    </row>
    <row r="114" s="2" customFormat="1" ht="12.75" customHeight="1">
      <c r="B114" s="94"/>
    </row>
    <row r="115" s="2" customFormat="1" ht="12.75" customHeight="1">
      <c r="B115" s="94"/>
    </row>
    <row r="116" s="2" customFormat="1" ht="12.75" customHeight="1">
      <c r="B116" s="94"/>
    </row>
    <row r="117" s="2" customFormat="1" ht="12.75" customHeight="1">
      <c r="B117" s="94"/>
    </row>
    <row r="118" s="2" customFormat="1" ht="12.75" customHeight="1">
      <c r="B118" s="94"/>
    </row>
    <row r="119" s="2" customFormat="1" ht="12.75" customHeight="1">
      <c r="B119" s="94"/>
    </row>
    <row r="120" s="2" customFormat="1" ht="12.75" customHeight="1">
      <c r="B120" s="94"/>
    </row>
    <row r="121" s="2" customFormat="1" ht="12.75" customHeight="1">
      <c r="B121" s="94"/>
    </row>
    <row r="122" s="2" customFormat="1" ht="12.75" customHeight="1">
      <c r="B122" s="94"/>
    </row>
    <row r="123" s="2" customFormat="1" ht="12.75" customHeight="1">
      <c r="B123" s="94"/>
    </row>
    <row r="124" s="2" customFormat="1" ht="12.75" customHeight="1">
      <c r="B124" s="94"/>
    </row>
    <row r="125" s="2" customFormat="1" ht="12.75" customHeight="1">
      <c r="B125" s="94"/>
    </row>
    <row r="126" s="2" customFormat="1" ht="12.75" customHeight="1">
      <c r="B126" s="94"/>
    </row>
    <row r="127" s="2" customFormat="1" ht="12.75" customHeight="1">
      <c r="B127" s="94"/>
    </row>
    <row r="128" s="2" customFormat="1" ht="12.75" customHeight="1">
      <c r="B128" s="94"/>
    </row>
    <row r="129" s="2" customFormat="1" ht="12.75" customHeight="1">
      <c r="B129" s="94"/>
    </row>
    <row r="130" s="2" customFormat="1" ht="12.75" customHeight="1">
      <c r="B130" s="94"/>
    </row>
    <row r="131" s="2" customFormat="1" ht="12.75" customHeight="1">
      <c r="B131" s="94"/>
    </row>
    <row r="132" s="2" customFormat="1" ht="12.75" customHeight="1">
      <c r="B132" s="94"/>
    </row>
    <row r="133" s="2" customFormat="1" ht="12.75" customHeight="1">
      <c r="B133" s="94"/>
    </row>
    <row r="134" s="2" customFormat="1" ht="12.75" customHeight="1">
      <c r="B134" s="94"/>
    </row>
    <row r="135" s="2" customFormat="1" ht="12.75" customHeight="1">
      <c r="B135" s="94"/>
    </row>
    <row r="136" s="2" customFormat="1" ht="12.75" customHeight="1">
      <c r="B136" s="94"/>
    </row>
    <row r="137" s="2" customFormat="1" ht="12.75" customHeight="1">
      <c r="B137" s="94"/>
    </row>
    <row r="138" s="2" customFormat="1" ht="12.75" customHeight="1">
      <c r="B138" s="94"/>
    </row>
    <row r="139" s="2" customFormat="1" ht="12.75" customHeight="1">
      <c r="B139" s="94"/>
    </row>
    <row r="140" s="2" customFormat="1" ht="12.75" customHeight="1">
      <c r="B140" s="94"/>
    </row>
    <row r="141" s="2" customFormat="1" ht="12.75" customHeight="1">
      <c r="B141" s="94"/>
    </row>
    <row r="142" s="2" customFormat="1" ht="12.75" customHeight="1">
      <c r="B142" s="94"/>
    </row>
    <row r="143" s="2" customFormat="1" ht="12.75" customHeight="1">
      <c r="B143" s="94"/>
    </row>
    <row r="144" s="2" customFormat="1" ht="12.75" customHeight="1">
      <c r="B144" s="94"/>
    </row>
    <row r="145" s="2" customFormat="1" ht="12.75" customHeight="1">
      <c r="B145" s="94"/>
    </row>
    <row r="146" s="2" customFormat="1" ht="12.75" customHeight="1">
      <c r="B146" s="94"/>
    </row>
    <row r="147" s="2" customFormat="1" ht="12.75" customHeight="1">
      <c r="B147" s="94"/>
    </row>
    <row r="148" s="2" customFormat="1" ht="12.75" customHeight="1">
      <c r="B148" s="94"/>
    </row>
    <row r="149" s="2" customFormat="1" ht="12.75" customHeight="1">
      <c r="B149" s="94"/>
    </row>
    <row r="150" s="2" customFormat="1" ht="12.75" customHeight="1">
      <c r="B150" s="94"/>
    </row>
    <row r="151" s="2" customFormat="1" ht="12.75" customHeight="1">
      <c r="B151" s="94"/>
    </row>
    <row r="152" s="2" customFormat="1" ht="12.75" customHeight="1">
      <c r="B152" s="94"/>
    </row>
    <row r="153" s="2" customFormat="1" ht="12.75" customHeight="1">
      <c r="B153" s="94"/>
    </row>
    <row r="154" s="2" customFormat="1" ht="12.75" customHeight="1">
      <c r="B154" s="94"/>
    </row>
    <row r="155" s="2" customFormat="1" ht="12.75" customHeight="1">
      <c r="B155" s="94"/>
    </row>
    <row r="156" s="2" customFormat="1" ht="12.75" customHeight="1">
      <c r="B156" s="94"/>
    </row>
    <row r="157" s="2" customFormat="1" ht="12.75" customHeight="1">
      <c r="B157" s="94"/>
    </row>
    <row r="158" s="2" customFormat="1" ht="12.75" customHeight="1">
      <c r="B158" s="94"/>
    </row>
    <row r="159" s="2" customFormat="1" ht="12.75" customHeight="1">
      <c r="B159" s="94"/>
    </row>
    <row r="160" s="2" customFormat="1" ht="12.75" customHeight="1">
      <c r="B160" s="94"/>
    </row>
    <row r="161" s="2" customFormat="1" ht="12.75" customHeight="1">
      <c r="B161" s="94"/>
    </row>
    <row r="162" s="2" customFormat="1" ht="12.75" customHeight="1">
      <c r="B162" s="94"/>
    </row>
    <row r="163" s="2" customFormat="1" ht="12.75" customHeight="1">
      <c r="B163" s="94"/>
    </row>
    <row r="164" s="2" customFormat="1" ht="12.75" customHeight="1">
      <c r="B164" s="94"/>
    </row>
    <row r="165" s="2" customFormat="1" ht="12.75" customHeight="1">
      <c r="B165" s="94"/>
    </row>
    <row r="166" s="2" customFormat="1" ht="12.75" customHeight="1">
      <c r="B166" s="94"/>
    </row>
    <row r="167" s="2" customFormat="1" ht="12.75" customHeight="1">
      <c r="B167" s="94"/>
    </row>
    <row r="168" s="2" customFormat="1" ht="12.75" customHeight="1">
      <c r="B168" s="94"/>
    </row>
    <row r="169" s="2" customFormat="1" ht="12.75" customHeight="1">
      <c r="B169" s="94"/>
    </row>
    <row r="170" s="2" customFormat="1" ht="12.75" customHeight="1">
      <c r="B170" s="94"/>
    </row>
    <row r="171" s="2" customFormat="1" ht="12.75" customHeight="1">
      <c r="B171" s="94"/>
    </row>
    <row r="172" s="2" customFormat="1" ht="12.75" customHeight="1">
      <c r="B172" s="94"/>
    </row>
    <row r="173" s="2" customFormat="1" ht="12.75" customHeight="1">
      <c r="B173" s="94"/>
    </row>
    <row r="174" s="2" customFormat="1" ht="12.75" customHeight="1">
      <c r="B174" s="94"/>
    </row>
    <row r="175" s="2" customFormat="1" ht="12.75" customHeight="1">
      <c r="B175" s="94"/>
    </row>
    <row r="176" s="2" customFormat="1" ht="12.75" customHeight="1">
      <c r="B176" s="94"/>
    </row>
    <row r="177" s="2" customFormat="1" ht="12.75" customHeight="1">
      <c r="B177" s="94"/>
    </row>
    <row r="178" s="2" customFormat="1" ht="12.75" customHeight="1">
      <c r="B178" s="94"/>
    </row>
    <row r="179" s="2" customFormat="1" ht="12.75" customHeight="1">
      <c r="B179" s="94"/>
    </row>
    <row r="180" s="2" customFormat="1" ht="12.75" customHeight="1">
      <c r="B180" s="94"/>
    </row>
    <row r="181" s="2" customFormat="1" ht="12.75" customHeight="1">
      <c r="B181" s="94"/>
    </row>
    <row r="182" s="2" customFormat="1" ht="12.75" customHeight="1">
      <c r="B182" s="94"/>
    </row>
    <row r="183" s="2" customFormat="1" ht="12.75" customHeight="1">
      <c r="B183" s="94"/>
    </row>
    <row r="184" s="2" customFormat="1" ht="12.75" customHeight="1">
      <c r="B184" s="94"/>
    </row>
    <row r="185" s="2" customFormat="1" ht="12.75" customHeight="1">
      <c r="B185" s="94"/>
    </row>
    <row r="186" s="2" customFormat="1" ht="12.75" customHeight="1">
      <c r="B186" s="94"/>
    </row>
    <row r="187" s="2" customFormat="1" ht="12.75" customHeight="1">
      <c r="B187" s="94"/>
    </row>
    <row r="188" s="2" customFormat="1" ht="12.75" customHeight="1">
      <c r="B188" s="94"/>
    </row>
  </sheetData>
  <sheetProtection selectLockedCells="1" selectUnlockedCells="1"/>
  <mergeCells count="18">
    <mergeCell ref="A53:B53"/>
    <mergeCell ref="A54:B54"/>
    <mergeCell ref="A55:B55"/>
    <mergeCell ref="A60:B60"/>
    <mergeCell ref="O6:O7"/>
    <mergeCell ref="P6:P7"/>
    <mergeCell ref="Q6:Q7"/>
    <mergeCell ref="A49:A50"/>
    <mergeCell ref="B2:R2"/>
    <mergeCell ref="B3:R3"/>
    <mergeCell ref="B4:R4"/>
    <mergeCell ref="A6:A7"/>
    <mergeCell ref="B6:B7"/>
    <mergeCell ref="C6:C7"/>
    <mergeCell ref="G6:G7"/>
    <mergeCell ref="H6:H7"/>
    <mergeCell ref="I6:I7"/>
    <mergeCell ref="J6:J7"/>
  </mergeCells>
  <printOptions/>
  <pageMargins left="0.7083333333333334" right="0.7083333333333334" top="0.7479166666666667" bottom="0.7479166666666667" header="0.5118055555555555" footer="0.5118055555555555"/>
  <pageSetup horizontalDpi="300" verticalDpi="300" orientation="portrait" paperSize="9" scale="58"/>
</worksheet>
</file>

<file path=xl/worksheets/sheet2.xml><?xml version="1.0" encoding="utf-8"?>
<worksheet xmlns="http://schemas.openxmlformats.org/spreadsheetml/2006/main" xmlns:r="http://schemas.openxmlformats.org/officeDocument/2006/relationships">
  <dimension ref="A1:Q43"/>
  <sheetViews>
    <sheetView workbookViewId="0" topLeftCell="A19">
      <selection activeCell="O7" sqref="O7"/>
    </sheetView>
  </sheetViews>
  <sheetFormatPr defaultColWidth="9.140625" defaultRowHeight="15.75" customHeight="1"/>
  <cols>
    <col min="1" max="1" width="5.7109375" style="104" customWidth="1"/>
    <col min="2" max="2" width="22.140625" style="104" customWidth="1"/>
    <col min="3" max="3" width="7.140625" style="104" customWidth="1"/>
    <col min="4" max="4" width="7.28125" style="104" customWidth="1"/>
    <col min="5" max="5" width="6.421875" style="104" customWidth="1"/>
    <col min="6" max="6" width="7.140625" style="104" customWidth="1"/>
    <col min="7" max="7" width="7.00390625" style="104" customWidth="1"/>
    <col min="8" max="8" width="8.421875" style="104" customWidth="1"/>
    <col min="9" max="9" width="8.00390625" style="104" customWidth="1"/>
    <col min="10" max="10" width="8.140625" style="104" customWidth="1"/>
    <col min="11" max="11" width="7.7109375" style="104" customWidth="1"/>
    <col min="12" max="12" width="8.28125" style="104" customWidth="1"/>
    <col min="13" max="13" width="8.00390625" style="104" customWidth="1"/>
    <col min="14" max="14" width="7.57421875" style="104" customWidth="1"/>
    <col min="15" max="15" width="7.7109375" style="104" customWidth="1"/>
    <col min="16" max="16" width="7.421875" style="104" customWidth="1"/>
    <col min="17" max="17" width="7.8515625" style="104" customWidth="1"/>
    <col min="18" max="16384" width="9.140625" style="104" customWidth="1"/>
  </cols>
  <sheetData>
    <row r="1" spans="7:17" ht="28.5" customHeight="1">
      <c r="G1" s="138" t="s">
        <v>129</v>
      </c>
      <c r="H1" s="138"/>
      <c r="I1" s="138"/>
      <c r="J1" s="138"/>
      <c r="K1" s="138"/>
      <c r="L1" s="138"/>
      <c r="M1" s="138"/>
      <c r="N1" s="138"/>
      <c r="O1" s="138"/>
      <c r="P1" s="138"/>
      <c r="Q1" s="138"/>
    </row>
    <row r="2" spans="1:17" ht="16.5" customHeight="1">
      <c r="A2" s="139" t="s">
        <v>130</v>
      </c>
      <c r="B2" s="139"/>
      <c r="C2" s="139"/>
      <c r="D2" s="139"/>
      <c r="E2" s="139"/>
      <c r="F2" s="139"/>
      <c r="G2" s="139"/>
      <c r="H2" s="139"/>
      <c r="I2" s="139"/>
      <c r="J2" s="139"/>
      <c r="K2" s="139"/>
      <c r="L2" s="139"/>
      <c r="M2" s="139"/>
      <c r="N2" s="139"/>
      <c r="O2" s="139"/>
      <c r="P2" s="139"/>
      <c r="Q2" s="139"/>
    </row>
    <row r="3" spans="1:17" s="106" customFormat="1" ht="60.75" customHeight="1">
      <c r="A3" s="140" t="s">
        <v>131</v>
      </c>
      <c r="B3" s="141" t="s">
        <v>132</v>
      </c>
      <c r="C3" s="141" t="s">
        <v>133</v>
      </c>
      <c r="D3" s="141" t="s">
        <v>134</v>
      </c>
      <c r="E3" s="141"/>
      <c r="F3" s="141" t="s">
        <v>135</v>
      </c>
      <c r="G3" s="141"/>
      <c r="H3" s="141" t="s">
        <v>136</v>
      </c>
      <c r="I3" s="141"/>
      <c r="J3" s="141" t="s">
        <v>137</v>
      </c>
      <c r="K3" s="141"/>
      <c r="L3" s="141" t="s">
        <v>138</v>
      </c>
      <c r="M3" s="141"/>
      <c r="N3" s="141" t="s">
        <v>139</v>
      </c>
      <c r="O3" s="141"/>
      <c r="P3" s="141" t="s">
        <v>140</v>
      </c>
      <c r="Q3" s="141"/>
    </row>
    <row r="4" spans="1:17" s="107" customFormat="1" ht="30" customHeight="1">
      <c r="A4" s="140"/>
      <c r="B4" s="141"/>
      <c r="C4" s="141"/>
      <c r="D4" s="105" t="s">
        <v>141</v>
      </c>
      <c r="E4" s="105" t="s">
        <v>142</v>
      </c>
      <c r="F4" s="105" t="s">
        <v>141</v>
      </c>
      <c r="G4" s="105" t="s">
        <v>142</v>
      </c>
      <c r="H4" s="105" t="s">
        <v>141</v>
      </c>
      <c r="I4" s="105" t="s">
        <v>142</v>
      </c>
      <c r="J4" s="105" t="s">
        <v>141</v>
      </c>
      <c r="K4" s="105" t="s">
        <v>142</v>
      </c>
      <c r="L4" s="105" t="s">
        <v>141</v>
      </c>
      <c r="M4" s="105" t="s">
        <v>142</v>
      </c>
      <c r="N4" s="105" t="s">
        <v>141</v>
      </c>
      <c r="O4" s="105" t="s">
        <v>142</v>
      </c>
      <c r="P4" s="105" t="s">
        <v>141</v>
      </c>
      <c r="Q4" s="105" t="s">
        <v>142</v>
      </c>
    </row>
    <row r="5" spans="1:17" s="107" customFormat="1" ht="79.5" customHeight="1">
      <c r="A5" s="108" t="s">
        <v>143</v>
      </c>
      <c r="B5" s="109" t="s">
        <v>144</v>
      </c>
      <c r="C5" s="108"/>
      <c r="D5" s="110"/>
      <c r="E5" s="110"/>
      <c r="F5" s="110"/>
      <c r="G5" s="110"/>
      <c r="H5" s="110"/>
      <c r="I5" s="110"/>
      <c r="J5" s="110"/>
      <c r="K5" s="110"/>
      <c r="L5" s="110"/>
      <c r="M5" s="110"/>
      <c r="N5" s="110"/>
      <c r="O5" s="110"/>
      <c r="P5" s="110"/>
      <c r="Q5" s="110"/>
    </row>
    <row r="6" spans="1:17" s="107" customFormat="1" ht="63.75" customHeight="1">
      <c r="A6" s="108" t="s">
        <v>23</v>
      </c>
      <c r="B6" s="109" t="s">
        <v>145</v>
      </c>
      <c r="C6" s="108"/>
      <c r="D6" s="110"/>
      <c r="E6" s="110"/>
      <c r="F6" s="110"/>
      <c r="G6" s="110"/>
      <c r="H6" s="110"/>
      <c r="I6" s="110"/>
      <c r="J6" s="110"/>
      <c r="K6" s="110"/>
      <c r="L6" s="110"/>
      <c r="M6" s="110"/>
      <c r="N6" s="110"/>
      <c r="O6" s="110"/>
      <c r="P6" s="110"/>
      <c r="Q6" s="110"/>
    </row>
    <row r="7" spans="1:17" s="107" customFormat="1" ht="359.25" customHeight="1">
      <c r="A7" s="108"/>
      <c r="B7" s="109" t="s">
        <v>146</v>
      </c>
      <c r="C7" s="108" t="s">
        <v>147</v>
      </c>
      <c r="D7" s="110"/>
      <c r="E7" s="110"/>
      <c r="F7" s="110"/>
      <c r="G7" s="110"/>
      <c r="H7" s="110"/>
      <c r="I7" s="110"/>
      <c r="J7" s="110"/>
      <c r="K7" s="110"/>
      <c r="L7" s="110"/>
      <c r="M7" s="110"/>
      <c r="N7" s="110"/>
      <c r="O7" s="110"/>
      <c r="P7" s="110"/>
      <c r="Q7" s="110"/>
    </row>
    <row r="8" spans="1:17" s="107" customFormat="1" ht="197.25" customHeight="1">
      <c r="A8" s="108"/>
      <c r="B8" s="109" t="s">
        <v>148</v>
      </c>
      <c r="C8" s="108" t="s">
        <v>149</v>
      </c>
      <c r="D8" s="110"/>
      <c r="E8" s="110"/>
      <c r="F8" s="110"/>
      <c r="G8" s="110"/>
      <c r="H8" s="110"/>
      <c r="I8" s="110"/>
      <c r="J8" s="110"/>
      <c r="K8" s="110"/>
      <c r="L8" s="110"/>
      <c r="M8" s="110"/>
      <c r="N8" s="110"/>
      <c r="O8" s="110"/>
      <c r="P8" s="110"/>
      <c r="Q8" s="110"/>
    </row>
    <row r="9" spans="1:17" s="107" customFormat="1" ht="54.75" customHeight="1">
      <c r="A9" s="108" t="s">
        <v>25</v>
      </c>
      <c r="B9" s="109" t="s">
        <v>150</v>
      </c>
      <c r="C9" s="108"/>
      <c r="D9" s="110"/>
      <c r="E9" s="110"/>
      <c r="F9" s="110"/>
      <c r="G9" s="110"/>
      <c r="H9" s="110"/>
      <c r="I9" s="110"/>
      <c r="J9" s="110"/>
      <c r="K9" s="110"/>
      <c r="L9" s="110"/>
      <c r="M9" s="110"/>
      <c r="N9" s="110"/>
      <c r="O9" s="110"/>
      <c r="P9" s="110"/>
      <c r="Q9" s="110"/>
    </row>
    <row r="10" spans="1:17" s="107" customFormat="1" ht="25.5" customHeight="1">
      <c r="A10" s="108"/>
      <c r="B10" s="109" t="s">
        <v>151</v>
      </c>
      <c r="C10" s="108"/>
      <c r="D10" s="110"/>
      <c r="E10" s="110"/>
      <c r="F10" s="110"/>
      <c r="G10" s="110"/>
      <c r="H10" s="110"/>
      <c r="I10" s="110"/>
      <c r="J10" s="110"/>
      <c r="K10" s="110"/>
      <c r="L10" s="110"/>
      <c r="M10" s="110"/>
      <c r="N10" s="110"/>
      <c r="O10" s="110"/>
      <c r="P10" s="110"/>
      <c r="Q10" s="110"/>
    </row>
    <row r="11" spans="1:17" s="107" customFormat="1" ht="34.5" customHeight="1">
      <c r="A11" s="108"/>
      <c r="B11" s="109" t="s">
        <v>152</v>
      </c>
      <c r="C11" s="108" t="s">
        <v>147</v>
      </c>
      <c r="D11" s="110"/>
      <c r="E11" s="110"/>
      <c r="F11" s="110"/>
      <c r="G11" s="110"/>
      <c r="H11" s="110"/>
      <c r="I11" s="110"/>
      <c r="J11" s="110"/>
      <c r="K11" s="110"/>
      <c r="L11" s="110"/>
      <c r="M11" s="110"/>
      <c r="N11" s="110"/>
      <c r="O11" s="110"/>
      <c r="P11" s="110"/>
      <c r="Q11" s="110"/>
    </row>
    <row r="12" spans="1:17" s="107" customFormat="1" ht="47.25" customHeight="1">
      <c r="A12" s="108"/>
      <c r="B12" s="109" t="s">
        <v>153</v>
      </c>
      <c r="C12" s="108" t="s">
        <v>149</v>
      </c>
      <c r="D12" s="110"/>
      <c r="E12" s="110"/>
      <c r="F12" s="110"/>
      <c r="G12" s="110"/>
      <c r="H12" s="110"/>
      <c r="I12" s="110"/>
      <c r="J12" s="110"/>
      <c r="K12" s="110"/>
      <c r="L12" s="110"/>
      <c r="M12" s="110"/>
      <c r="N12" s="110"/>
      <c r="O12" s="110"/>
      <c r="P12" s="110"/>
      <c r="Q12" s="110"/>
    </row>
    <row r="13" spans="1:17" s="107" customFormat="1" ht="25.5" customHeight="1">
      <c r="A13" s="108"/>
      <c r="B13" s="109" t="s">
        <v>154</v>
      </c>
      <c r="C13" s="108" t="s">
        <v>149</v>
      </c>
      <c r="D13" s="110">
        <v>90.96</v>
      </c>
      <c r="E13" s="110">
        <v>99.77</v>
      </c>
      <c r="F13" s="110">
        <v>99.7</v>
      </c>
      <c r="G13" s="110">
        <v>99.7</v>
      </c>
      <c r="H13" s="110">
        <v>104.39</v>
      </c>
      <c r="I13" s="110">
        <v>104.39</v>
      </c>
      <c r="J13" s="110">
        <v>109.3</v>
      </c>
      <c r="K13" s="110">
        <v>109.3</v>
      </c>
      <c r="L13" s="110">
        <v>114.44</v>
      </c>
      <c r="M13" s="110">
        <v>114.44</v>
      </c>
      <c r="N13" s="110">
        <v>120.05</v>
      </c>
      <c r="O13" s="110">
        <v>120.05</v>
      </c>
      <c r="P13" s="110">
        <v>125.69</v>
      </c>
      <c r="Q13" s="110">
        <v>125.69</v>
      </c>
    </row>
    <row r="14" spans="1:17" s="107" customFormat="1" ht="77.25" customHeight="1">
      <c r="A14" s="108" t="s">
        <v>155</v>
      </c>
      <c r="B14" s="109" t="s">
        <v>156</v>
      </c>
      <c r="C14" s="108" t="s">
        <v>149</v>
      </c>
      <c r="D14" s="110"/>
      <c r="E14" s="110"/>
      <c r="F14" s="110"/>
      <c r="G14" s="110"/>
      <c r="H14" s="110"/>
      <c r="I14" s="110"/>
      <c r="J14" s="110"/>
      <c r="K14" s="110"/>
      <c r="L14" s="110"/>
      <c r="M14" s="110"/>
      <c r="N14" s="110"/>
      <c r="O14" s="110"/>
      <c r="P14" s="110"/>
      <c r="Q14" s="110"/>
    </row>
    <row r="15" spans="1:17" s="107" customFormat="1" ht="32.25" customHeight="1">
      <c r="A15" s="108" t="s">
        <v>92</v>
      </c>
      <c r="B15" s="109" t="s">
        <v>157</v>
      </c>
      <c r="C15" s="108"/>
      <c r="D15" s="110"/>
      <c r="E15" s="110"/>
      <c r="F15" s="110"/>
      <c r="G15" s="110"/>
      <c r="H15" s="110"/>
      <c r="I15" s="110"/>
      <c r="J15" s="110"/>
      <c r="K15" s="110"/>
      <c r="L15" s="110"/>
      <c r="M15" s="110"/>
      <c r="N15" s="110"/>
      <c r="O15" s="110"/>
      <c r="P15" s="110"/>
      <c r="Q15" s="110"/>
    </row>
    <row r="16" spans="1:17" s="107" customFormat="1" ht="45" customHeight="1">
      <c r="A16" s="108" t="s">
        <v>158</v>
      </c>
      <c r="B16" s="109" t="s">
        <v>159</v>
      </c>
      <c r="C16" s="108" t="s">
        <v>149</v>
      </c>
      <c r="D16" s="110"/>
      <c r="E16" s="110"/>
      <c r="F16" s="110"/>
      <c r="G16" s="110"/>
      <c r="H16" s="110"/>
      <c r="I16" s="110"/>
      <c r="J16" s="110"/>
      <c r="K16" s="110"/>
      <c r="L16" s="110"/>
      <c r="M16" s="110"/>
      <c r="N16" s="110"/>
      <c r="O16" s="110"/>
      <c r="P16" s="110"/>
      <c r="Q16" s="110"/>
    </row>
    <row r="17" spans="1:17" s="107" customFormat="1" ht="31.5" customHeight="1">
      <c r="A17" s="108" t="s">
        <v>160</v>
      </c>
      <c r="B17" s="109" t="s">
        <v>161</v>
      </c>
      <c r="C17" s="108" t="s">
        <v>149</v>
      </c>
      <c r="D17" s="110"/>
      <c r="E17" s="110"/>
      <c r="F17" s="110"/>
      <c r="G17" s="110"/>
      <c r="H17" s="110"/>
      <c r="I17" s="110"/>
      <c r="J17" s="110"/>
      <c r="K17" s="110"/>
      <c r="L17" s="110"/>
      <c r="M17" s="110"/>
      <c r="N17" s="110"/>
      <c r="O17" s="110"/>
      <c r="P17" s="110"/>
      <c r="Q17" s="110"/>
    </row>
    <row r="18" spans="1:17" s="107" customFormat="1" ht="29.25" customHeight="1">
      <c r="A18" s="108" t="s">
        <v>162</v>
      </c>
      <c r="B18" s="109" t="s">
        <v>163</v>
      </c>
      <c r="C18" s="108" t="s">
        <v>164</v>
      </c>
      <c r="D18" s="110"/>
      <c r="E18" s="110"/>
      <c r="F18" s="110"/>
      <c r="G18" s="110"/>
      <c r="H18" s="110"/>
      <c r="I18" s="110"/>
      <c r="J18" s="110"/>
      <c r="K18" s="110"/>
      <c r="L18" s="110"/>
      <c r="M18" s="110"/>
      <c r="N18" s="110"/>
      <c r="O18" s="110"/>
      <c r="P18" s="110"/>
      <c r="Q18" s="110"/>
    </row>
    <row r="19" spans="1:17" s="107" customFormat="1" ht="15.75" customHeight="1">
      <c r="A19" s="108"/>
      <c r="B19" s="109" t="s">
        <v>165</v>
      </c>
      <c r="C19" s="108" t="s">
        <v>164</v>
      </c>
      <c r="D19" s="110"/>
      <c r="E19" s="110"/>
      <c r="F19" s="110"/>
      <c r="G19" s="110"/>
      <c r="H19" s="110"/>
      <c r="I19" s="110"/>
      <c r="J19" s="110"/>
      <c r="K19" s="110"/>
      <c r="L19" s="110"/>
      <c r="M19" s="110"/>
      <c r="N19" s="110"/>
      <c r="O19" s="110"/>
      <c r="P19" s="110"/>
      <c r="Q19" s="110"/>
    </row>
    <row r="20" spans="1:17" s="107" customFormat="1" ht="18.75" customHeight="1">
      <c r="A20" s="108"/>
      <c r="B20" s="109" t="s">
        <v>166</v>
      </c>
      <c r="C20" s="108" t="s">
        <v>164</v>
      </c>
      <c r="D20" s="110"/>
      <c r="E20" s="110"/>
      <c r="F20" s="110"/>
      <c r="G20" s="110"/>
      <c r="H20" s="110"/>
      <c r="I20" s="110"/>
      <c r="J20" s="110"/>
      <c r="K20" s="110"/>
      <c r="L20" s="110"/>
      <c r="M20" s="110"/>
      <c r="N20" s="110"/>
      <c r="O20" s="110"/>
      <c r="P20" s="110"/>
      <c r="Q20" s="110"/>
    </row>
    <row r="21" spans="1:17" s="107" customFormat="1" ht="18.75" customHeight="1">
      <c r="A21" s="108"/>
      <c r="B21" s="109" t="s">
        <v>167</v>
      </c>
      <c r="C21" s="108" t="s">
        <v>164</v>
      </c>
      <c r="D21" s="110"/>
      <c r="E21" s="110"/>
      <c r="F21" s="110"/>
      <c r="G21" s="110"/>
      <c r="H21" s="110"/>
      <c r="I21" s="110"/>
      <c r="J21" s="110"/>
      <c r="K21" s="110"/>
      <c r="L21" s="110"/>
      <c r="M21" s="110"/>
      <c r="N21" s="110"/>
      <c r="O21" s="110"/>
      <c r="P21" s="110"/>
      <c r="Q21" s="110"/>
    </row>
    <row r="22" spans="1:17" s="107" customFormat="1" ht="18.75" customHeight="1">
      <c r="A22" s="108"/>
      <c r="B22" s="109" t="s">
        <v>168</v>
      </c>
      <c r="C22" s="108" t="s">
        <v>164</v>
      </c>
      <c r="D22" s="110"/>
      <c r="E22" s="110"/>
      <c r="F22" s="110"/>
      <c r="G22" s="110"/>
      <c r="H22" s="110"/>
      <c r="I22" s="110"/>
      <c r="J22" s="110"/>
      <c r="K22" s="110"/>
      <c r="L22" s="110"/>
      <c r="M22" s="110"/>
      <c r="N22" s="110"/>
      <c r="O22" s="110"/>
      <c r="P22" s="110"/>
      <c r="Q22" s="110"/>
    </row>
    <row r="23" spans="1:17" s="107" customFormat="1" ht="32.25" customHeight="1">
      <c r="A23" s="108" t="s">
        <v>96</v>
      </c>
      <c r="B23" s="109" t="s">
        <v>169</v>
      </c>
      <c r="C23" s="108" t="s">
        <v>164</v>
      </c>
      <c r="D23" s="110"/>
      <c r="E23" s="110"/>
      <c r="F23" s="110"/>
      <c r="G23" s="110"/>
      <c r="H23" s="110"/>
      <c r="I23" s="110"/>
      <c r="J23" s="110"/>
      <c r="K23" s="110"/>
      <c r="L23" s="110"/>
      <c r="M23" s="110"/>
      <c r="N23" s="110"/>
      <c r="O23" s="110"/>
      <c r="P23" s="110"/>
      <c r="Q23" s="110"/>
    </row>
    <row r="24" spans="1:17" s="107" customFormat="1" ht="30.75" customHeight="1">
      <c r="A24" s="108" t="s">
        <v>170</v>
      </c>
      <c r="B24" s="109" t="s">
        <v>171</v>
      </c>
      <c r="C24" s="108" t="s">
        <v>172</v>
      </c>
      <c r="D24" s="110"/>
      <c r="E24" s="110"/>
      <c r="F24" s="110"/>
      <c r="G24" s="110"/>
      <c r="H24" s="110"/>
      <c r="I24" s="110"/>
      <c r="J24" s="110"/>
      <c r="K24" s="110"/>
      <c r="L24" s="110"/>
      <c r="M24" s="110"/>
      <c r="N24" s="110"/>
      <c r="O24" s="110"/>
      <c r="P24" s="110"/>
      <c r="Q24" s="110"/>
    </row>
    <row r="25" spans="1:17" s="107" customFormat="1" ht="30.75" customHeight="1">
      <c r="A25" s="108"/>
      <c r="B25" s="109" t="s">
        <v>173</v>
      </c>
      <c r="C25" s="108" t="s">
        <v>172</v>
      </c>
      <c r="D25" s="110"/>
      <c r="E25" s="110"/>
      <c r="F25" s="110"/>
      <c r="G25" s="110"/>
      <c r="H25" s="110"/>
      <c r="I25" s="110"/>
      <c r="J25" s="110"/>
      <c r="K25" s="110"/>
      <c r="L25" s="110"/>
      <c r="M25" s="110"/>
      <c r="N25" s="110"/>
      <c r="O25" s="110"/>
      <c r="P25" s="110"/>
      <c r="Q25" s="110"/>
    </row>
    <row r="26" spans="1:17" s="107" customFormat="1" ht="30.75" customHeight="1">
      <c r="A26" s="108" t="s">
        <v>174</v>
      </c>
      <c r="B26" s="109" t="s">
        <v>175</v>
      </c>
      <c r="C26" s="108" t="s">
        <v>147</v>
      </c>
      <c r="D26" s="110"/>
      <c r="E26" s="110"/>
      <c r="F26" s="110"/>
      <c r="G26" s="110"/>
      <c r="H26" s="110"/>
      <c r="I26" s="110"/>
      <c r="J26" s="110"/>
      <c r="K26" s="110"/>
      <c r="L26" s="110"/>
      <c r="M26" s="110"/>
      <c r="N26" s="110"/>
      <c r="O26" s="110"/>
      <c r="P26" s="110"/>
      <c r="Q26" s="110"/>
    </row>
    <row r="27" spans="1:17" s="107" customFormat="1" ht="46.5" customHeight="1">
      <c r="A27" s="108" t="s">
        <v>176</v>
      </c>
      <c r="B27" s="109" t="s">
        <v>177</v>
      </c>
      <c r="C27" s="108" t="s">
        <v>178</v>
      </c>
      <c r="D27" s="110"/>
      <c r="E27" s="110"/>
      <c r="F27" s="110"/>
      <c r="G27" s="110"/>
      <c r="H27" s="110"/>
      <c r="I27" s="110"/>
      <c r="J27" s="110"/>
      <c r="K27" s="110"/>
      <c r="L27" s="110"/>
      <c r="M27" s="110"/>
      <c r="N27" s="110"/>
      <c r="O27" s="110"/>
      <c r="P27" s="110"/>
      <c r="Q27" s="110"/>
    </row>
    <row r="28" spans="1:17" s="107" customFormat="1" ht="30.75" customHeight="1">
      <c r="A28" s="108" t="s">
        <v>179</v>
      </c>
      <c r="B28" s="109" t="s">
        <v>180</v>
      </c>
      <c r="C28" s="108" t="s">
        <v>178</v>
      </c>
      <c r="D28" s="110"/>
      <c r="E28" s="110"/>
      <c r="F28" s="110"/>
      <c r="G28" s="110"/>
      <c r="H28" s="110"/>
      <c r="I28" s="110"/>
      <c r="J28" s="110"/>
      <c r="K28" s="110"/>
      <c r="L28" s="110"/>
      <c r="M28" s="110"/>
      <c r="N28" s="110"/>
      <c r="O28" s="110"/>
      <c r="P28" s="110"/>
      <c r="Q28" s="110"/>
    </row>
    <row r="29" spans="1:17" s="107" customFormat="1" ht="30.75" customHeight="1">
      <c r="A29" s="108" t="s">
        <v>181</v>
      </c>
      <c r="B29" s="109" t="s">
        <v>182</v>
      </c>
      <c r="C29" s="108" t="s">
        <v>178</v>
      </c>
      <c r="D29" s="110"/>
      <c r="E29" s="110"/>
      <c r="F29" s="110"/>
      <c r="G29" s="110"/>
      <c r="H29" s="110"/>
      <c r="I29" s="110"/>
      <c r="J29" s="110"/>
      <c r="K29" s="110"/>
      <c r="L29" s="110"/>
      <c r="M29" s="110"/>
      <c r="N29" s="110"/>
      <c r="O29" s="110"/>
      <c r="P29" s="110"/>
      <c r="Q29" s="110"/>
    </row>
    <row r="30" spans="1:17" s="107" customFormat="1" ht="27" customHeight="1">
      <c r="A30" s="108"/>
      <c r="B30" s="109" t="s">
        <v>183</v>
      </c>
      <c r="C30" s="108" t="s">
        <v>178</v>
      </c>
      <c r="D30" s="110"/>
      <c r="E30" s="110"/>
      <c r="F30" s="110"/>
      <c r="G30" s="110"/>
      <c r="H30" s="110"/>
      <c r="I30" s="110"/>
      <c r="J30" s="110"/>
      <c r="K30" s="110"/>
      <c r="L30" s="110"/>
      <c r="M30" s="110"/>
      <c r="N30" s="110"/>
      <c r="O30" s="110"/>
      <c r="P30" s="110"/>
      <c r="Q30" s="110"/>
    </row>
    <row r="31" spans="1:17" s="107" customFormat="1" ht="27" customHeight="1">
      <c r="A31" s="108"/>
      <c r="B31" s="109" t="s">
        <v>184</v>
      </c>
      <c r="C31" s="108" t="s">
        <v>178</v>
      </c>
      <c r="D31" s="110"/>
      <c r="E31" s="110"/>
      <c r="F31" s="110"/>
      <c r="G31" s="110"/>
      <c r="H31" s="110"/>
      <c r="I31" s="110"/>
      <c r="J31" s="110"/>
      <c r="K31" s="110"/>
      <c r="L31" s="110"/>
      <c r="M31" s="110"/>
      <c r="N31" s="110"/>
      <c r="O31" s="110"/>
      <c r="P31" s="110"/>
      <c r="Q31" s="110"/>
    </row>
    <row r="32" spans="1:17" s="107" customFormat="1" ht="27" customHeight="1">
      <c r="A32" s="108"/>
      <c r="B32" s="109" t="s">
        <v>185</v>
      </c>
      <c r="C32" s="108" t="s">
        <v>178</v>
      </c>
      <c r="D32" s="110"/>
      <c r="E32" s="110"/>
      <c r="F32" s="110"/>
      <c r="G32" s="110"/>
      <c r="H32" s="110"/>
      <c r="I32" s="110"/>
      <c r="J32" s="110"/>
      <c r="K32" s="110"/>
      <c r="L32" s="110"/>
      <c r="M32" s="110"/>
      <c r="N32" s="110"/>
      <c r="O32" s="110"/>
      <c r="P32" s="110"/>
      <c r="Q32" s="110"/>
    </row>
    <row r="33" spans="1:17" s="107" customFormat="1" ht="27" customHeight="1">
      <c r="A33" s="108"/>
      <c r="B33" s="109" t="s">
        <v>186</v>
      </c>
      <c r="C33" s="108" t="s">
        <v>178</v>
      </c>
      <c r="D33" s="110"/>
      <c r="E33" s="110"/>
      <c r="F33" s="110"/>
      <c r="G33" s="110"/>
      <c r="H33" s="110"/>
      <c r="I33" s="110"/>
      <c r="J33" s="110"/>
      <c r="K33" s="110"/>
      <c r="L33" s="110"/>
      <c r="M33" s="110"/>
      <c r="N33" s="110"/>
      <c r="O33" s="110"/>
      <c r="P33" s="110"/>
      <c r="Q33" s="110"/>
    </row>
    <row r="34" spans="1:17" s="107" customFormat="1" ht="30.75" customHeight="1">
      <c r="A34" s="108" t="s">
        <v>187</v>
      </c>
      <c r="B34" s="109" t="s">
        <v>188</v>
      </c>
      <c r="C34" s="108" t="s">
        <v>178</v>
      </c>
      <c r="D34" s="110"/>
      <c r="E34" s="110"/>
      <c r="F34" s="110"/>
      <c r="G34" s="110"/>
      <c r="H34" s="110"/>
      <c r="I34" s="110"/>
      <c r="J34" s="110"/>
      <c r="K34" s="110"/>
      <c r="L34" s="110"/>
      <c r="M34" s="110"/>
      <c r="N34" s="110"/>
      <c r="O34" s="110"/>
      <c r="P34" s="110"/>
      <c r="Q34" s="110"/>
    </row>
    <row r="35" spans="1:17" s="107" customFormat="1" ht="32.25" customHeight="1">
      <c r="A35" s="108" t="s">
        <v>189</v>
      </c>
      <c r="B35" s="109" t="s">
        <v>190</v>
      </c>
      <c r="C35" s="108"/>
      <c r="D35" s="110"/>
      <c r="E35" s="110"/>
      <c r="F35" s="110"/>
      <c r="G35" s="110"/>
      <c r="H35" s="110"/>
      <c r="I35" s="110"/>
      <c r="J35" s="110"/>
      <c r="K35" s="110"/>
      <c r="L35" s="110"/>
      <c r="M35" s="110"/>
      <c r="N35" s="110"/>
      <c r="O35" s="110"/>
      <c r="P35" s="110"/>
      <c r="Q35" s="110"/>
    </row>
    <row r="36" spans="1:17" s="107" customFormat="1" ht="34.5" customHeight="1">
      <c r="A36" s="108" t="s">
        <v>191</v>
      </c>
      <c r="B36" s="109" t="s">
        <v>192</v>
      </c>
      <c r="C36" s="108" t="s">
        <v>193</v>
      </c>
      <c r="D36" s="110"/>
      <c r="E36" s="110"/>
      <c r="F36" s="110"/>
      <c r="G36" s="110"/>
      <c r="H36" s="110"/>
      <c r="I36" s="110"/>
      <c r="J36" s="110"/>
      <c r="K36" s="110"/>
      <c r="L36" s="110"/>
      <c r="M36" s="110"/>
      <c r="N36" s="110"/>
      <c r="O36" s="110"/>
      <c r="P36" s="110"/>
      <c r="Q36" s="110"/>
    </row>
    <row r="37" spans="1:17" s="107" customFormat="1" ht="32.25" customHeight="1">
      <c r="A37" s="108" t="s">
        <v>194</v>
      </c>
      <c r="B37" s="109" t="s">
        <v>195</v>
      </c>
      <c r="C37" s="108" t="s">
        <v>178</v>
      </c>
      <c r="D37" s="110"/>
      <c r="E37" s="110"/>
      <c r="F37" s="110"/>
      <c r="G37" s="110"/>
      <c r="H37" s="110"/>
      <c r="I37" s="110"/>
      <c r="J37" s="110"/>
      <c r="K37" s="110"/>
      <c r="L37" s="110"/>
      <c r="M37" s="110"/>
      <c r="N37" s="110"/>
      <c r="O37" s="110"/>
      <c r="P37" s="110"/>
      <c r="Q37" s="110"/>
    </row>
    <row r="38" spans="1:17" s="107" customFormat="1" ht="31.5" customHeight="1">
      <c r="A38" s="108" t="s">
        <v>196</v>
      </c>
      <c r="B38" s="109" t="s">
        <v>197</v>
      </c>
      <c r="C38" s="108" t="s">
        <v>198</v>
      </c>
      <c r="D38" s="110"/>
      <c r="E38" s="110"/>
      <c r="F38" s="110"/>
      <c r="G38" s="110"/>
      <c r="H38" s="110"/>
      <c r="I38" s="110"/>
      <c r="J38" s="110"/>
      <c r="K38" s="110"/>
      <c r="L38" s="110"/>
      <c r="M38" s="110"/>
      <c r="N38" s="110"/>
      <c r="O38" s="110"/>
      <c r="P38" s="110"/>
      <c r="Q38" s="110"/>
    </row>
    <row r="39" spans="1:17" s="107" customFormat="1" ht="16.5" customHeight="1">
      <c r="A39" s="108"/>
      <c r="B39" s="109" t="s">
        <v>199</v>
      </c>
      <c r="C39" s="108" t="s">
        <v>198</v>
      </c>
      <c r="D39" s="110"/>
      <c r="E39" s="110"/>
      <c r="F39" s="110"/>
      <c r="G39" s="110"/>
      <c r="H39" s="110"/>
      <c r="I39" s="110"/>
      <c r="J39" s="110"/>
      <c r="K39" s="110"/>
      <c r="L39" s="110"/>
      <c r="M39" s="110"/>
      <c r="N39" s="110"/>
      <c r="O39" s="110"/>
      <c r="P39" s="110"/>
      <c r="Q39" s="110"/>
    </row>
    <row r="40" spans="1:17" s="107" customFormat="1" ht="19.5" customHeight="1">
      <c r="A40" s="108"/>
      <c r="B40" s="109" t="s">
        <v>200</v>
      </c>
      <c r="C40" s="108" t="s">
        <v>198</v>
      </c>
      <c r="D40" s="110"/>
      <c r="E40" s="110"/>
      <c r="F40" s="110"/>
      <c r="G40" s="110"/>
      <c r="H40" s="110"/>
      <c r="I40" s="110"/>
      <c r="J40" s="110"/>
      <c r="K40" s="110"/>
      <c r="L40" s="110"/>
      <c r="M40" s="110"/>
      <c r="N40" s="110"/>
      <c r="O40" s="110"/>
      <c r="P40" s="110"/>
      <c r="Q40" s="110"/>
    </row>
    <row r="41" s="2" customFormat="1" ht="17.25" customHeight="1">
      <c r="A41" s="111" t="s">
        <v>201</v>
      </c>
    </row>
    <row r="43" ht="15.75" customHeight="1">
      <c r="B43" s="104" t="s">
        <v>202</v>
      </c>
    </row>
  </sheetData>
  <sheetProtection selectLockedCells="1" selectUnlockedCells="1"/>
  <mergeCells count="12">
    <mergeCell ref="N3:O3"/>
    <mergeCell ref="P3:Q3"/>
    <mergeCell ref="G1:Q1"/>
    <mergeCell ref="A2:Q2"/>
    <mergeCell ref="A3:A4"/>
    <mergeCell ref="B3:B4"/>
    <mergeCell ref="C3:C4"/>
    <mergeCell ref="D3:E3"/>
    <mergeCell ref="F3:G3"/>
    <mergeCell ref="H3:I3"/>
    <mergeCell ref="J3:K3"/>
    <mergeCell ref="L3:M3"/>
  </mergeCells>
  <printOptions/>
  <pageMargins left="0.2361111111111111" right="0.2361111111111111" top="0.7479166666666667" bottom="0.7479166666666667"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J49"/>
  <sheetViews>
    <sheetView tabSelected="1" workbookViewId="0" topLeftCell="A37">
      <selection activeCell="D11" sqref="D11"/>
    </sheetView>
  </sheetViews>
  <sheetFormatPr defaultColWidth="9.140625" defaultRowHeight="15.75" customHeight="1"/>
  <cols>
    <col min="1" max="1" width="6.57421875" style="104" customWidth="1"/>
    <col min="2" max="2" width="31.140625" style="104" customWidth="1"/>
    <col min="3" max="3" width="12.421875" style="104" customWidth="1"/>
    <col min="4" max="4" width="19.28125" style="104" customWidth="1"/>
    <col min="5" max="5" width="17.140625" style="104" customWidth="1"/>
    <col min="6" max="6" width="10.421875" style="104" customWidth="1"/>
    <col min="7" max="7" width="9.57421875" style="104" customWidth="1"/>
    <col min="8" max="8" width="10.140625" style="104" customWidth="1"/>
    <col min="9" max="9" width="12.140625" style="104" customWidth="1"/>
    <col min="10" max="10" width="14.140625" style="104" customWidth="1"/>
    <col min="11" max="16384" width="9.140625" style="104" customWidth="1"/>
  </cols>
  <sheetData>
    <row r="1" spans="9:10" ht="60.75" customHeight="1">
      <c r="I1" s="142" t="s">
        <v>203</v>
      </c>
      <c r="J1" s="142"/>
    </row>
    <row r="4" spans="1:10" ht="31.5" customHeight="1">
      <c r="A4" s="139" t="s">
        <v>204</v>
      </c>
      <c r="B4" s="139"/>
      <c r="C4" s="139"/>
      <c r="D4" s="139"/>
      <c r="E4" s="139"/>
      <c r="F4" s="139"/>
      <c r="G4" s="139"/>
      <c r="H4" s="139"/>
      <c r="I4" s="139"/>
      <c r="J4" s="139"/>
    </row>
    <row r="7" spans="1:10" s="116" customFormat="1" ht="66" customHeight="1">
      <c r="A7" s="112" t="s">
        <v>131</v>
      </c>
      <c r="B7" s="113" t="s">
        <v>132</v>
      </c>
      <c r="C7" s="113" t="s">
        <v>205</v>
      </c>
      <c r="D7" s="113" t="s">
        <v>206</v>
      </c>
      <c r="E7" s="113" t="s">
        <v>207</v>
      </c>
      <c r="F7" s="113" t="s">
        <v>208</v>
      </c>
      <c r="G7" s="113" t="s">
        <v>209</v>
      </c>
      <c r="H7" s="113" t="s">
        <v>210</v>
      </c>
      <c r="I7" s="114" t="s">
        <v>211</v>
      </c>
      <c r="J7" s="115" t="s">
        <v>212</v>
      </c>
    </row>
    <row r="8" spans="1:10" s="120" customFormat="1" ht="42" customHeight="1">
      <c r="A8" s="117" t="s">
        <v>143</v>
      </c>
      <c r="B8" s="118" t="s">
        <v>213</v>
      </c>
      <c r="C8" s="117"/>
      <c r="D8" s="119"/>
      <c r="E8" s="119"/>
      <c r="F8" s="119"/>
      <c r="G8" s="119"/>
      <c r="H8" s="119"/>
      <c r="I8" s="119"/>
      <c r="J8" s="119"/>
    </row>
    <row r="9" spans="1:10" s="120" customFormat="1" ht="28.5" customHeight="1">
      <c r="A9" s="117" t="s">
        <v>23</v>
      </c>
      <c r="B9" s="118" t="s">
        <v>214</v>
      </c>
      <c r="C9" s="117" t="s">
        <v>215</v>
      </c>
      <c r="D9" s="119">
        <v>2432.15</v>
      </c>
      <c r="E9" s="119">
        <v>2435.67</v>
      </c>
      <c r="F9" s="119">
        <v>2550.25</v>
      </c>
      <c r="G9" s="119">
        <v>2670.11</v>
      </c>
      <c r="H9" s="119">
        <v>2795.7</v>
      </c>
      <c r="I9" s="119">
        <v>2932.77</v>
      </c>
      <c r="J9" s="119">
        <v>3070.66</v>
      </c>
    </row>
    <row r="10" spans="1:10" s="120" customFormat="1" ht="28.5" customHeight="1">
      <c r="A10" s="117" t="s">
        <v>25</v>
      </c>
      <c r="B10" s="118" t="s">
        <v>216</v>
      </c>
      <c r="C10" s="117" t="s">
        <v>215</v>
      </c>
      <c r="D10" s="119">
        <v>-540.584</v>
      </c>
      <c r="E10" s="119">
        <v>-1309.62</v>
      </c>
      <c r="F10" s="119">
        <v>-934.038</v>
      </c>
      <c r="G10" s="119">
        <v>-923.92</v>
      </c>
      <c r="H10" s="119">
        <v>-855.83</v>
      </c>
      <c r="I10" s="119">
        <v>883.675</v>
      </c>
      <c r="J10" s="119">
        <v>-919.67</v>
      </c>
    </row>
    <row r="11" spans="1:10" s="120" customFormat="1" ht="59.25" customHeight="1">
      <c r="A11" s="117" t="s">
        <v>28</v>
      </c>
      <c r="B11" s="118" t="s">
        <v>217</v>
      </c>
      <c r="C11" s="117" t="s">
        <v>215</v>
      </c>
      <c r="D11" s="119">
        <v>-22.22</v>
      </c>
      <c r="E11" s="119">
        <v>-53.83</v>
      </c>
      <c r="F11" s="119">
        <v>-36.62</v>
      </c>
      <c r="G11" s="119">
        <v>-34.6</v>
      </c>
      <c r="H11" s="119">
        <v>30.61</v>
      </c>
      <c r="I11" s="119">
        <v>30.13</v>
      </c>
      <c r="J11" s="119">
        <v>-29.95</v>
      </c>
    </row>
    <row r="12" spans="1:10" s="120" customFormat="1" ht="27.75" customHeight="1">
      <c r="A12" s="117" t="s">
        <v>30</v>
      </c>
      <c r="B12" s="118" t="s">
        <v>218</v>
      </c>
      <c r="C12" s="117" t="s">
        <v>215</v>
      </c>
      <c r="D12" s="119"/>
      <c r="E12" s="119"/>
      <c r="F12" s="119"/>
      <c r="G12" s="119"/>
      <c r="H12" s="119"/>
      <c r="I12" s="119"/>
      <c r="J12" s="119"/>
    </row>
    <row r="13" spans="1:10" s="120" customFormat="1" ht="41.25" customHeight="1">
      <c r="A13" s="117" t="s">
        <v>155</v>
      </c>
      <c r="B13" s="118" t="s">
        <v>219</v>
      </c>
      <c r="C13" s="117"/>
      <c r="D13" s="119"/>
      <c r="E13" s="119"/>
      <c r="F13" s="119"/>
      <c r="G13" s="119"/>
      <c r="H13" s="119"/>
      <c r="I13" s="119"/>
      <c r="J13" s="119"/>
    </row>
    <row r="14" spans="1:10" s="120" customFormat="1" ht="110.25" customHeight="1">
      <c r="A14" s="117" t="s">
        <v>64</v>
      </c>
      <c r="B14" s="118" t="s">
        <v>220</v>
      </c>
      <c r="C14" s="117" t="s">
        <v>164</v>
      </c>
      <c r="D14" s="119"/>
      <c r="E14" s="119"/>
      <c r="F14" s="119"/>
      <c r="G14" s="119"/>
      <c r="H14" s="119"/>
      <c r="I14" s="119"/>
      <c r="J14" s="119"/>
    </row>
    <row r="15" spans="1:10" s="120" customFormat="1" ht="58.5" customHeight="1">
      <c r="A15" s="117" t="s">
        <v>92</v>
      </c>
      <c r="B15" s="118" t="s">
        <v>221</v>
      </c>
      <c r="C15" s="117"/>
      <c r="D15" s="119"/>
      <c r="E15" s="119"/>
      <c r="F15" s="119"/>
      <c r="G15" s="119"/>
      <c r="H15" s="119"/>
      <c r="I15" s="119"/>
      <c r="J15" s="119"/>
    </row>
    <row r="16" spans="1:10" s="120" customFormat="1" ht="60.75" customHeight="1">
      <c r="A16" s="117" t="s">
        <v>158</v>
      </c>
      <c r="B16" s="118" t="s">
        <v>222</v>
      </c>
      <c r="C16" s="117" t="s">
        <v>122</v>
      </c>
      <c r="D16" s="119"/>
      <c r="E16" s="119"/>
      <c r="F16" s="119"/>
      <c r="G16" s="119"/>
      <c r="H16" s="119"/>
      <c r="I16" s="119"/>
      <c r="J16" s="119"/>
    </row>
    <row r="17" spans="1:10" s="120" customFormat="1" ht="39.75" customHeight="1">
      <c r="A17" s="117" t="s">
        <v>160</v>
      </c>
      <c r="B17" s="118" t="s">
        <v>223</v>
      </c>
      <c r="C17" s="117" t="s">
        <v>224</v>
      </c>
      <c r="D17" s="119"/>
      <c r="E17" s="119"/>
      <c r="F17" s="119"/>
      <c r="G17" s="119"/>
      <c r="H17" s="119"/>
      <c r="I17" s="119"/>
      <c r="J17" s="119"/>
    </row>
    <row r="18" spans="1:10" s="124" customFormat="1" ht="24.75" customHeight="1">
      <c r="A18" s="121" t="s">
        <v>162</v>
      </c>
      <c r="B18" s="122" t="s">
        <v>225</v>
      </c>
      <c r="C18" s="121" t="s">
        <v>122</v>
      </c>
      <c r="D18" s="123">
        <v>3.68</v>
      </c>
      <c r="E18" s="123">
        <v>3.68</v>
      </c>
      <c r="F18" s="123">
        <v>3.68</v>
      </c>
      <c r="G18" s="123">
        <v>3.68</v>
      </c>
      <c r="H18" s="123">
        <v>3.68</v>
      </c>
      <c r="I18" s="123">
        <v>3.68</v>
      </c>
      <c r="J18" s="123">
        <v>3.68</v>
      </c>
    </row>
    <row r="19" spans="1:10" s="120" customFormat="1" ht="60" customHeight="1">
      <c r="A19" s="117" t="s">
        <v>226</v>
      </c>
      <c r="B19" s="118" t="s">
        <v>227</v>
      </c>
      <c r="C19" s="117" t="s">
        <v>228</v>
      </c>
      <c r="D19" s="125">
        <v>24854</v>
      </c>
      <c r="E19" s="125">
        <v>24854</v>
      </c>
      <c r="F19" s="125">
        <v>24854</v>
      </c>
      <c r="G19" s="125">
        <v>24854</v>
      </c>
      <c r="H19" s="125">
        <v>24854</v>
      </c>
      <c r="I19" s="125">
        <v>24854</v>
      </c>
      <c r="J19" s="125">
        <v>24854</v>
      </c>
    </row>
    <row r="20" spans="1:10" s="120" customFormat="1" ht="76.5" customHeight="1">
      <c r="A20" s="117" t="s">
        <v>229</v>
      </c>
      <c r="B20" s="118" t="s">
        <v>230</v>
      </c>
      <c r="C20" s="117" t="s">
        <v>231</v>
      </c>
      <c r="D20" s="119">
        <v>0</v>
      </c>
      <c r="E20" s="119">
        <v>0</v>
      </c>
      <c r="F20" s="119">
        <v>0</v>
      </c>
      <c r="G20" s="119">
        <v>0</v>
      </c>
      <c r="H20" s="119">
        <v>0</v>
      </c>
      <c r="I20" s="119">
        <v>0</v>
      </c>
      <c r="J20" s="119">
        <v>0</v>
      </c>
    </row>
    <row r="21" spans="1:10" s="120" customFormat="1" ht="93" customHeight="1">
      <c r="A21" s="117" t="s">
        <v>232</v>
      </c>
      <c r="B21" s="118" t="s">
        <v>233</v>
      </c>
      <c r="C21" s="117" t="s">
        <v>164</v>
      </c>
      <c r="D21" s="126" t="s">
        <v>234</v>
      </c>
      <c r="E21" s="126" t="s">
        <v>235</v>
      </c>
      <c r="F21" s="126" t="s">
        <v>236</v>
      </c>
      <c r="G21" s="119"/>
      <c r="H21" s="119"/>
      <c r="I21" s="119"/>
      <c r="J21" s="119"/>
    </row>
    <row r="22" spans="1:10" s="120" customFormat="1" ht="73.5" customHeight="1">
      <c r="A22" s="117" t="s">
        <v>237</v>
      </c>
      <c r="B22" s="118" t="s">
        <v>238</v>
      </c>
      <c r="C22" s="117"/>
      <c r="D22" s="119"/>
      <c r="E22" s="119"/>
      <c r="F22" s="119"/>
      <c r="G22" s="119"/>
      <c r="H22" s="119"/>
      <c r="I22" s="119"/>
      <c r="J22" s="119"/>
    </row>
    <row r="23" spans="1:10" s="120" customFormat="1" ht="86.25" customHeight="1">
      <c r="A23" s="117" t="s">
        <v>239</v>
      </c>
      <c r="B23" s="118" t="s">
        <v>240</v>
      </c>
      <c r="C23" s="117" t="s">
        <v>224</v>
      </c>
      <c r="D23" s="119"/>
      <c r="E23" s="119"/>
      <c r="F23" s="119"/>
      <c r="G23" s="119"/>
      <c r="H23" s="119"/>
      <c r="I23" s="119"/>
      <c r="J23" s="119"/>
    </row>
    <row r="24" spans="1:10" s="120" customFormat="1" ht="72" customHeight="1">
      <c r="A24" s="117" t="s">
        <v>96</v>
      </c>
      <c r="B24" s="118" t="s">
        <v>241</v>
      </c>
      <c r="C24" s="117"/>
      <c r="D24" s="119"/>
      <c r="E24" s="119"/>
      <c r="F24" s="119"/>
      <c r="G24" s="119"/>
      <c r="H24" s="119"/>
      <c r="I24" s="119"/>
      <c r="J24" s="119"/>
    </row>
    <row r="25" spans="1:10" s="120" customFormat="1" ht="90" customHeight="1">
      <c r="A25" s="117" t="s">
        <v>170</v>
      </c>
      <c r="B25" s="118" t="s">
        <v>242</v>
      </c>
      <c r="C25" s="117" t="s">
        <v>215</v>
      </c>
      <c r="D25" s="119">
        <v>44879.12</v>
      </c>
      <c r="E25" s="119">
        <v>57710.16</v>
      </c>
      <c r="F25" s="119">
        <v>52152.66</v>
      </c>
      <c r="G25" s="119">
        <v>57604.74</v>
      </c>
      <c r="H25" s="119">
        <v>57170.24</v>
      </c>
      <c r="I25" s="119">
        <v>59857.2</v>
      </c>
      <c r="J25" s="119">
        <v>62670.51</v>
      </c>
    </row>
    <row r="26" spans="1:10" s="120" customFormat="1" ht="27" customHeight="1">
      <c r="A26" s="117"/>
      <c r="B26" s="118" t="s">
        <v>243</v>
      </c>
      <c r="C26" s="117"/>
      <c r="D26" s="119"/>
      <c r="E26" s="119"/>
      <c r="F26" s="119"/>
      <c r="G26" s="119"/>
      <c r="H26" s="119"/>
      <c r="I26" s="119"/>
      <c r="J26" s="119"/>
    </row>
    <row r="27" spans="1:10" s="120" customFormat="1" ht="27" customHeight="1">
      <c r="A27" s="117"/>
      <c r="B27" s="118" t="s">
        <v>244</v>
      </c>
      <c r="C27" s="127"/>
      <c r="D27" s="117">
        <v>26669.44</v>
      </c>
      <c r="E27" s="119">
        <v>29122.21</v>
      </c>
      <c r="F27" s="119">
        <v>30490.95</v>
      </c>
      <c r="G27" s="119">
        <v>31924.02</v>
      </c>
      <c r="H27" s="119">
        <v>33424.45</v>
      </c>
      <c r="I27" s="119">
        <v>34995.4</v>
      </c>
      <c r="J27" s="119">
        <v>36640.19</v>
      </c>
    </row>
    <row r="28" spans="1:10" s="120" customFormat="1" ht="27" customHeight="1">
      <c r="A28" s="117"/>
      <c r="B28" s="118" t="s">
        <v>245</v>
      </c>
      <c r="C28" s="117"/>
      <c r="D28" s="119">
        <v>5973.49</v>
      </c>
      <c r="E28" s="119">
        <v>13555.06</v>
      </c>
      <c r="F28" s="119">
        <v>6500</v>
      </c>
      <c r="G28" s="119">
        <v>6805.05</v>
      </c>
      <c r="H28" s="119">
        <v>7125.39</v>
      </c>
      <c r="I28" s="119">
        <v>7460.25</v>
      </c>
      <c r="J28" s="119">
        <v>7810.88</v>
      </c>
    </row>
    <row r="29" spans="1:10" s="120" customFormat="1" ht="27" customHeight="1">
      <c r="A29" s="117"/>
      <c r="B29" s="118" t="s">
        <v>246</v>
      </c>
      <c r="C29" s="117"/>
      <c r="D29" s="119">
        <v>1341.08</v>
      </c>
      <c r="E29" s="119">
        <v>1955.81</v>
      </c>
      <c r="F29" s="119">
        <v>1470</v>
      </c>
      <c r="G29" s="119">
        <v>1540</v>
      </c>
      <c r="H29" s="119">
        <v>1611.43</v>
      </c>
      <c r="I29" s="119">
        <v>1687.16</v>
      </c>
      <c r="J29" s="119">
        <v>1766.46</v>
      </c>
    </row>
    <row r="30" spans="1:10" s="120" customFormat="1" ht="85.5" customHeight="1">
      <c r="A30" s="117" t="s">
        <v>174</v>
      </c>
      <c r="B30" s="118" t="s">
        <v>247</v>
      </c>
      <c r="C30" s="117" t="s">
        <v>215</v>
      </c>
      <c r="D30" s="119">
        <v>12288.85</v>
      </c>
      <c r="E30" s="119">
        <v>14314.64</v>
      </c>
      <c r="F30" s="119">
        <v>14852.99</v>
      </c>
      <c r="G30" s="119">
        <v>15416.64</v>
      </c>
      <c r="H30" s="119">
        <v>16006.78</v>
      </c>
      <c r="I30" s="119">
        <v>16624.66</v>
      </c>
      <c r="J30" s="119">
        <v>17296.07</v>
      </c>
    </row>
    <row r="31" spans="1:10" s="120" customFormat="1" ht="60.75" customHeight="1">
      <c r="A31" s="117" t="s">
        <v>176</v>
      </c>
      <c r="B31" s="118" t="s">
        <v>248</v>
      </c>
      <c r="C31" s="117" t="s">
        <v>215</v>
      </c>
      <c r="D31" s="119"/>
      <c r="E31" s="119"/>
      <c r="F31" s="119"/>
      <c r="G31" s="119"/>
      <c r="H31" s="119"/>
      <c r="I31" s="119"/>
      <c r="J31" s="119"/>
    </row>
    <row r="32" spans="1:10" s="120" customFormat="1" ht="43.5" customHeight="1">
      <c r="A32" s="117" t="s">
        <v>189</v>
      </c>
      <c r="B32" s="118" t="s">
        <v>249</v>
      </c>
      <c r="C32" s="117" t="s">
        <v>215</v>
      </c>
      <c r="D32" s="119"/>
      <c r="E32" s="119"/>
      <c r="F32" s="119"/>
      <c r="G32" s="119"/>
      <c r="H32" s="119"/>
      <c r="I32" s="119"/>
      <c r="J32" s="119"/>
    </row>
    <row r="33" spans="1:10" s="120" customFormat="1" ht="70.5" customHeight="1">
      <c r="A33" s="117" t="s">
        <v>191</v>
      </c>
      <c r="B33" s="118" t="s">
        <v>250</v>
      </c>
      <c r="C33" s="117"/>
      <c r="D33" s="119"/>
      <c r="E33" s="119"/>
      <c r="F33" s="119"/>
      <c r="G33" s="119"/>
      <c r="H33" s="119"/>
      <c r="I33" s="119"/>
      <c r="J33" s="119"/>
    </row>
    <row r="34" spans="1:10" s="120" customFormat="1" ht="27" customHeight="1">
      <c r="A34" s="117"/>
      <c r="B34" s="128" t="s">
        <v>251</v>
      </c>
      <c r="C34" s="117"/>
      <c r="D34" s="119"/>
      <c r="E34" s="119"/>
      <c r="F34" s="119"/>
      <c r="G34" s="119"/>
      <c r="H34" s="119"/>
      <c r="I34" s="119"/>
      <c r="J34" s="119"/>
    </row>
    <row r="35" spans="1:10" s="120" customFormat="1" ht="30.75" customHeight="1">
      <c r="A35" s="117"/>
      <c r="B35" s="118" t="s">
        <v>252</v>
      </c>
      <c r="C35" s="117" t="s">
        <v>253</v>
      </c>
      <c r="D35" s="119"/>
      <c r="E35" s="119"/>
      <c r="F35" s="119"/>
      <c r="G35" s="119"/>
      <c r="H35" s="119"/>
      <c r="I35" s="119"/>
      <c r="J35" s="119"/>
    </row>
    <row r="36" spans="1:10" s="120" customFormat="1" ht="47.25" customHeight="1">
      <c r="A36" s="117"/>
      <c r="B36" s="118" t="s">
        <v>254</v>
      </c>
      <c r="C36" s="117" t="s">
        <v>255</v>
      </c>
      <c r="D36" s="119"/>
      <c r="E36" s="119"/>
      <c r="F36" s="119"/>
      <c r="G36" s="119"/>
      <c r="H36" s="119"/>
      <c r="I36" s="119"/>
      <c r="J36" s="119"/>
    </row>
    <row r="37" spans="1:10" s="120" customFormat="1" ht="72.75" customHeight="1">
      <c r="A37" s="117" t="s">
        <v>98</v>
      </c>
      <c r="B37" s="118" t="s">
        <v>256</v>
      </c>
      <c r="C37" s="117"/>
      <c r="D37" s="119"/>
      <c r="E37" s="119"/>
      <c r="F37" s="119"/>
      <c r="G37" s="119"/>
      <c r="H37" s="119"/>
      <c r="I37" s="119"/>
      <c r="J37" s="119"/>
    </row>
    <row r="38" spans="1:10" s="120" customFormat="1" ht="41.25" customHeight="1">
      <c r="A38" s="117" t="s">
        <v>257</v>
      </c>
      <c r="B38" s="118" t="s">
        <v>258</v>
      </c>
      <c r="C38" s="117" t="s">
        <v>259</v>
      </c>
      <c r="D38" s="119">
        <v>61</v>
      </c>
      <c r="E38" s="119">
        <v>61</v>
      </c>
      <c r="F38" s="119">
        <v>61</v>
      </c>
      <c r="G38" s="119">
        <v>61</v>
      </c>
      <c r="H38" s="119">
        <v>61</v>
      </c>
      <c r="I38" s="119">
        <v>61</v>
      </c>
      <c r="J38" s="119">
        <v>61</v>
      </c>
    </row>
    <row r="39" spans="1:10" s="120" customFormat="1" ht="47.25" customHeight="1">
      <c r="A39" s="117" t="s">
        <v>260</v>
      </c>
      <c r="B39" s="118" t="s">
        <v>261</v>
      </c>
      <c r="C39" s="117" t="s">
        <v>262</v>
      </c>
      <c r="D39" s="119">
        <v>36.433</v>
      </c>
      <c r="E39" s="119">
        <v>39.784</v>
      </c>
      <c r="F39" s="119">
        <v>41.654</v>
      </c>
      <c r="G39" s="119">
        <v>43.612</v>
      </c>
      <c r="H39" s="119">
        <v>45.661</v>
      </c>
      <c r="I39" s="119">
        <v>47.807</v>
      </c>
      <c r="J39" s="119">
        <v>50.054</v>
      </c>
    </row>
    <row r="40" spans="1:10" s="120" customFormat="1" ht="59.25" customHeight="1">
      <c r="A40" s="117" t="s">
        <v>263</v>
      </c>
      <c r="B40" s="118" t="s">
        <v>264</v>
      </c>
      <c r="C40" s="117"/>
      <c r="D40" s="119"/>
      <c r="E40" s="119"/>
      <c r="F40" s="119"/>
      <c r="G40" s="119"/>
      <c r="H40" s="119"/>
      <c r="I40" s="119"/>
      <c r="J40" s="119"/>
    </row>
    <row r="41" spans="1:10" s="120" customFormat="1" ht="27" customHeight="1">
      <c r="A41" s="117"/>
      <c r="B41" s="128" t="s">
        <v>251</v>
      </c>
      <c r="C41" s="117"/>
      <c r="D41" s="119"/>
      <c r="E41" s="119"/>
      <c r="F41" s="119"/>
      <c r="G41" s="119"/>
      <c r="H41" s="119"/>
      <c r="I41" s="119"/>
      <c r="J41" s="119"/>
    </row>
    <row r="42" spans="1:10" s="120" customFormat="1" ht="58.5" customHeight="1">
      <c r="A42" s="117"/>
      <c r="B42" s="118" t="s">
        <v>265</v>
      </c>
      <c r="C42" s="117" t="s">
        <v>215</v>
      </c>
      <c r="D42" s="119"/>
      <c r="E42" s="119"/>
      <c r="F42" s="119"/>
      <c r="G42" s="119"/>
      <c r="H42" s="119"/>
      <c r="I42" s="119"/>
      <c r="J42" s="119"/>
    </row>
    <row r="43" spans="1:10" s="120" customFormat="1" ht="68.25" customHeight="1">
      <c r="A43" s="117"/>
      <c r="B43" s="118" t="s">
        <v>266</v>
      </c>
      <c r="C43" s="117" t="s">
        <v>215</v>
      </c>
      <c r="D43" s="119"/>
      <c r="E43" s="119"/>
      <c r="F43" s="119"/>
      <c r="G43" s="119"/>
      <c r="H43" s="119"/>
      <c r="I43" s="119"/>
      <c r="J43" s="119"/>
    </row>
    <row r="44" s="2" customFormat="1" ht="19.5" customHeight="1">
      <c r="A44" s="111" t="s">
        <v>267</v>
      </c>
    </row>
    <row r="45" s="2" customFormat="1" ht="15.75" customHeight="1">
      <c r="A45" s="111" t="s">
        <v>268</v>
      </c>
    </row>
    <row r="46" s="2" customFormat="1" ht="15.75" customHeight="1">
      <c r="A46" s="111" t="s">
        <v>269</v>
      </c>
    </row>
    <row r="47" s="2" customFormat="1" ht="15.75" customHeight="1">
      <c r="A47" s="111" t="s">
        <v>270</v>
      </c>
    </row>
    <row r="49" ht="15.75" customHeight="1">
      <c r="B49" s="104" t="s">
        <v>202</v>
      </c>
    </row>
  </sheetData>
  <sheetProtection selectLockedCells="1" selectUnlockedCells="1"/>
  <mergeCells count="2">
    <mergeCell ref="I1:J1"/>
    <mergeCell ref="A4:J4"/>
  </mergeCells>
  <printOptions/>
  <pageMargins left="0" right="0" top="0" bottom="0"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dcterms:modified xsi:type="dcterms:W3CDTF">2014-09-22T06:55:38Z</dcterms:modified>
  <cp:category/>
  <cp:version/>
  <cp:contentType/>
  <cp:contentStatus/>
</cp:coreProperties>
</file>